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rstrassen\Dropbox (Privat)\Schneezueri allgemeiner Ordner\Wegleitung\_Wegleitung &amp; Formulare aktuell\"/>
    </mc:Choice>
  </mc:AlternateContent>
  <xr:revisionPtr revIDLastSave="0" documentId="13_ncr:1_{D2EBBCE6-C6AD-4ABF-9EEE-FEF38FD6DED1}" xr6:coauthVersionLast="47" xr6:coauthVersionMax="47" xr10:uidLastSave="{00000000-0000-0000-0000-000000000000}"/>
  <bookViews>
    <workbookView xWindow="2652" yWindow="2652" windowWidth="17280" windowHeight="8880" tabRatio="869" firstSheet="2" activeTab="3" xr2:uid="{00000000-000D-0000-FFFF-FFFF00000000}"/>
  </bookViews>
  <sheets>
    <sheet name="Personaldaten" sheetId="19" state="hidden" r:id="rId1"/>
    <sheet name="Import" sheetId="20" r:id="rId2"/>
    <sheet name="Anleitung" sheetId="9" r:id="rId3"/>
    <sheet name="Datenstammblatt" sheetId="8" r:id="rId4"/>
    <sheet name="Vorschuss" sheetId="6" r:id="rId5"/>
    <sheet name="Camp-Abrechnung 1.0" sheetId="1" r:id="rId6"/>
    <sheet name="SH-Abrechnung 1.0" sheetId="15" r:id="rId7"/>
    <sheet name="Positionen 2.1 - 2.4" sheetId="3" r:id="rId8"/>
    <sheet name="Verpfl. 2.6" sheetId="10" r:id="rId9"/>
    <sheet name="Unterschriftsblatt 2.9" sheetId="12" r:id="rId10"/>
    <sheet name="J+S-Abrechnung 3.0" sheetId="2" r:id="rId11"/>
    <sheet name="Ermässigungen 4.0" sheetId="16" r:id="rId12"/>
    <sheet name="Auszahlung 5.0" sheetId="4" r:id="rId13"/>
    <sheet name="Lagerbericht" sheetId="7" r:id="rId14"/>
    <sheet name="Budget" sheetId="13" r:id="rId15"/>
  </sheets>
  <definedNames>
    <definedName name="_xlnm.Print_Area" localSheetId="14">Budget!$A$1:$I$34</definedName>
    <definedName name="_xlnm.Print_Area" localSheetId="5">'Camp-Abrechnung 1.0'!$A$1:$L$71</definedName>
    <definedName name="_xlnm.Print_Area" localSheetId="3">Datenstammblatt!$B$1:$N$26,Datenstammblatt!$B$28:$K$56</definedName>
    <definedName name="_xlnm.Print_Area" localSheetId="11">'Ermässigungen 4.0'!$A$1:$G$46</definedName>
    <definedName name="_xlnm.Print_Area" localSheetId="10">'J+S-Abrechnung 3.0'!$A$1:$J$38</definedName>
    <definedName name="_xlnm.Print_Area" localSheetId="13">Lagerbericht!$A$1:$D$29</definedName>
    <definedName name="_xlnm.Print_Area" localSheetId="7">'Positionen 2.1 - 2.4'!$A$1:$G$38</definedName>
    <definedName name="_xlnm.Print_Area" localSheetId="6">'SH-Abrechnung 1.0'!$A$1:$K$77</definedName>
    <definedName name="_xlnm.Print_Area" localSheetId="9">'Unterschriftsblatt 2.9'!$B:$G</definedName>
    <definedName name="_xlnm.Print_Area" localSheetId="8">'Verpfl. 2.6'!$A$1:$J$44</definedName>
    <definedName name="_xlnm.Print_Titles" localSheetId="3">Datenstammblatt!$1:$2</definedName>
    <definedName name="Export">Datenstammblatt!$A$1:$L$56</definedName>
    <definedName name="import">Import!$A$1:$L$56</definedName>
    <definedName name="LagerTyp">Datenstammblatt!$E$1</definedName>
    <definedName name="Personaltabelle" localSheetId="0" hidden="1">Personaldaten!$A$1:$T$312</definedName>
    <definedName name="Reset">Import!$R$1:$AC$60</definedName>
    <definedName name="Statistik" localSheetId="11">'SH-Abrechnung 1.0'!$N$76:$T$76</definedName>
    <definedName name="Statistik" localSheetId="6">'SH-Abrechnung 1.0'!$N$76:$T$76</definedName>
    <definedName name="Statistik">'Camp-Abrechnung 1.0'!$N$69:$T$69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6" l="1"/>
  <c r="A56" i="8"/>
  <c r="F56" i="8" s="1"/>
  <c r="A55" i="8"/>
  <c r="C55" i="8" s="1"/>
  <c r="D55" i="8" s="1"/>
  <c r="E55" i="8" s="1"/>
  <c r="A54" i="8"/>
  <c r="F54" i="8" s="1"/>
  <c r="A50" i="8"/>
  <c r="C50" i="8" s="1"/>
  <c r="A49" i="8"/>
  <c r="C49" i="8" s="1"/>
  <c r="A48" i="8"/>
  <c r="C48" i="8" s="1"/>
  <c r="A47" i="8"/>
  <c r="C47" i="8" s="1"/>
  <c r="A46" i="8"/>
  <c r="C46" i="8" s="1"/>
  <c r="A45" i="8"/>
  <c r="C45" i="8" s="1"/>
  <c r="A44" i="8"/>
  <c r="C44" i="8" s="1"/>
  <c r="A43" i="8"/>
  <c r="C43" i="8" s="1"/>
  <c r="A42" i="8"/>
  <c r="C42" i="8" s="1"/>
  <c r="A41" i="8"/>
  <c r="C41" i="8" s="1"/>
  <c r="A40" i="8"/>
  <c r="C40" i="8" s="1"/>
  <c r="A39" i="8"/>
  <c r="C39" i="8" s="1"/>
  <c r="A38" i="8"/>
  <c r="C38" i="8" s="1"/>
  <c r="A37" i="8"/>
  <c r="C37" i="8" s="1"/>
  <c r="A36" i="8"/>
  <c r="C36" i="8" s="1"/>
  <c r="A35" i="8"/>
  <c r="C35" i="8" s="1"/>
  <c r="A34" i="8"/>
  <c r="C34" i="8" s="1"/>
  <c r="A33" i="8"/>
  <c r="C33" i="8" s="1"/>
  <c r="A32" i="8"/>
  <c r="C32" i="8" s="1"/>
  <c r="A31" i="8"/>
  <c r="C31" i="8" s="1"/>
  <c r="F31" i="8" l="1"/>
  <c r="G56" i="8"/>
  <c r="F55" i="8"/>
  <c r="G31" i="8"/>
  <c r="G55" i="8"/>
  <c r="C56" i="8"/>
  <c r="D56" i="8" s="1"/>
  <c r="E56" i="8" s="1"/>
  <c r="L11" i="8"/>
  <c r="G54" i="8"/>
  <c r="C54" i="8"/>
  <c r="D54" i="8" s="1"/>
  <c r="E54" i="8" s="1"/>
  <c r="C1" i="1"/>
  <c r="G2" i="1"/>
  <c r="B1" i="15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R49" i="15"/>
  <c r="Q49" i="15"/>
  <c r="P49" i="15"/>
  <c r="O49" i="15"/>
  <c r="P48" i="15"/>
  <c r="O48" i="15"/>
  <c r="F7" i="12"/>
  <c r="B12" i="6"/>
  <c r="C12" i="6"/>
  <c r="G19" i="8" l="1"/>
  <c r="F19" i="8"/>
  <c r="E19" i="8"/>
  <c r="D19" i="8"/>
  <c r="G21" i="8"/>
  <c r="F21" i="8"/>
  <c r="E21" i="8"/>
  <c r="D21" i="8"/>
  <c r="G22" i="8"/>
  <c r="F22" i="8"/>
  <c r="E22" i="8"/>
  <c r="D22" i="8"/>
  <c r="G23" i="8"/>
  <c r="F23" i="8"/>
  <c r="E23" i="8"/>
  <c r="D23" i="8"/>
  <c r="G15" i="8"/>
  <c r="G16" i="8"/>
  <c r="F16" i="8"/>
  <c r="E16" i="8"/>
  <c r="D16" i="8"/>
  <c r="F15" i="8"/>
  <c r="E15" i="8"/>
  <c r="D15" i="8"/>
  <c r="E14" i="8"/>
  <c r="D14" i="8"/>
  <c r="G14" i="8"/>
  <c r="F14" i="8"/>
  <c r="G13" i="8"/>
  <c r="F13" i="8"/>
  <c r="E13" i="8"/>
  <c r="D13" i="8"/>
  <c r="G11" i="8"/>
  <c r="F11" i="8"/>
  <c r="E11" i="8"/>
  <c r="D11" i="8"/>
  <c r="F10" i="8"/>
  <c r="E10" i="8"/>
  <c r="D10" i="8"/>
  <c r="G10" i="8"/>
  <c r="G9" i="8"/>
  <c r="F9" i="8"/>
  <c r="E9" i="8"/>
  <c r="D9" i="8"/>
  <c r="E8" i="8"/>
  <c r="D8" i="8"/>
  <c r="G8" i="8"/>
  <c r="F8" i="8"/>
  <c r="G5" i="8"/>
  <c r="F5" i="8"/>
  <c r="E5" i="8"/>
  <c r="D5" i="8"/>
  <c r="D4" i="8"/>
  <c r="G4" i="8"/>
  <c r="F4" i="8"/>
  <c r="E4" i="8"/>
  <c r="A8" i="8" l="1"/>
  <c r="G50" i="8"/>
  <c r="F50" i="8"/>
  <c r="K50" i="8" s="1"/>
  <c r="G49" i="8"/>
  <c r="F49" i="8"/>
  <c r="K49" i="8" s="1"/>
  <c r="G48" i="8"/>
  <c r="F48" i="8"/>
  <c r="K48" i="8" s="1"/>
  <c r="G47" i="8"/>
  <c r="F47" i="8"/>
  <c r="K47" i="8" s="1"/>
  <c r="G46" i="8"/>
  <c r="F46" i="8"/>
  <c r="K46" i="8" s="1"/>
  <c r="G45" i="8"/>
  <c r="F45" i="8"/>
  <c r="K45" i="8" s="1"/>
  <c r="G44" i="8"/>
  <c r="F44" i="8"/>
  <c r="K44" i="8" s="1"/>
  <c r="G43" i="8"/>
  <c r="F43" i="8"/>
  <c r="K43" i="8" s="1"/>
  <c r="G42" i="8"/>
  <c r="F42" i="8"/>
  <c r="K42" i="8" s="1"/>
  <c r="G41" i="8"/>
  <c r="F41" i="8"/>
  <c r="K41" i="8" s="1"/>
  <c r="G40" i="8"/>
  <c r="F40" i="8"/>
  <c r="K40" i="8" s="1"/>
  <c r="G39" i="8"/>
  <c r="F39" i="8"/>
  <c r="K39" i="8" s="1"/>
  <c r="G38" i="8"/>
  <c r="F38" i="8"/>
  <c r="K38" i="8" s="1"/>
  <c r="G37" i="8"/>
  <c r="F37" i="8"/>
  <c r="K37" i="8" s="1"/>
  <c r="G36" i="8"/>
  <c r="F36" i="8"/>
  <c r="K36" i="8" s="1"/>
  <c r="G35" i="8"/>
  <c r="F35" i="8"/>
  <c r="K35" i="8" s="1"/>
  <c r="G34" i="8"/>
  <c r="F34" i="8"/>
  <c r="K34" i="8" s="1"/>
  <c r="G33" i="8"/>
  <c r="F33" i="8"/>
  <c r="K33" i="8" s="1"/>
  <c r="G32" i="8"/>
  <c r="F32" i="8"/>
  <c r="K32" i="8" s="1"/>
  <c r="A30" i="8" l="1"/>
  <c r="F30" i="8" s="1"/>
  <c r="O14" i="15" l="1"/>
  <c r="I1" i="8"/>
  <c r="E39" i="15" l="1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C8" i="15"/>
  <c r="J2" i="15"/>
  <c r="H2" i="15"/>
  <c r="C4" i="15" s="1"/>
  <c r="D2" i="16" s="1"/>
  <c r="K42" i="15"/>
  <c r="C9" i="16"/>
  <c r="C10" i="16"/>
  <c r="A13" i="16"/>
  <c r="D13" i="16"/>
  <c r="E13" i="16"/>
  <c r="G13" i="16"/>
  <c r="A14" i="16"/>
  <c r="D14" i="16"/>
  <c r="E14" i="16"/>
  <c r="G14" i="16"/>
  <c r="A15" i="16"/>
  <c r="D15" i="16"/>
  <c r="E15" i="16"/>
  <c r="G15" i="16"/>
  <c r="A16" i="16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D16" i="16"/>
  <c r="E16" i="16"/>
  <c r="G16" i="16"/>
  <c r="D17" i="16"/>
  <c r="E17" i="16"/>
  <c r="G17" i="16"/>
  <c r="D18" i="16"/>
  <c r="E18" i="16"/>
  <c r="G18" i="16"/>
  <c r="D19" i="16"/>
  <c r="E19" i="16"/>
  <c r="G19" i="16"/>
  <c r="D20" i="16"/>
  <c r="E20" i="16"/>
  <c r="G20" i="16"/>
  <c r="D21" i="16"/>
  <c r="E21" i="16"/>
  <c r="G21" i="16"/>
  <c r="D22" i="16"/>
  <c r="E22" i="16"/>
  <c r="G22" i="16"/>
  <c r="D23" i="16"/>
  <c r="E23" i="16"/>
  <c r="G23" i="16"/>
  <c r="D24" i="16"/>
  <c r="E24" i="16"/>
  <c r="G24" i="16"/>
  <c r="D25" i="16"/>
  <c r="E25" i="16"/>
  <c r="G25" i="16"/>
  <c r="D26" i="16"/>
  <c r="E26" i="16"/>
  <c r="G26" i="16"/>
  <c r="D27" i="16"/>
  <c r="E27" i="16"/>
  <c r="G27" i="16"/>
  <c r="D28" i="16"/>
  <c r="E28" i="16"/>
  <c r="G28" i="16"/>
  <c r="D29" i="16"/>
  <c r="E29" i="16"/>
  <c r="G29" i="16"/>
  <c r="D30" i="16"/>
  <c r="E30" i="16"/>
  <c r="G30" i="16"/>
  <c r="D31" i="16"/>
  <c r="E31" i="16"/>
  <c r="G31" i="16"/>
  <c r="D32" i="16"/>
  <c r="E32" i="16"/>
  <c r="G32" i="16"/>
  <c r="D33" i="16"/>
  <c r="E33" i="16"/>
  <c r="G33" i="16"/>
  <c r="D34" i="16"/>
  <c r="E34" i="16"/>
  <c r="G34" i="16"/>
  <c r="D35" i="16"/>
  <c r="E35" i="16"/>
  <c r="G35" i="16"/>
  <c r="D36" i="16"/>
  <c r="E36" i="16"/>
  <c r="G36" i="16"/>
  <c r="D37" i="16"/>
  <c r="E37" i="16"/>
  <c r="G37" i="16"/>
  <c r="D38" i="16"/>
  <c r="E38" i="16"/>
  <c r="G38" i="16"/>
  <c r="D39" i="16"/>
  <c r="E39" i="16"/>
  <c r="G39" i="16"/>
  <c r="D40" i="16"/>
  <c r="E40" i="16"/>
  <c r="G40" i="16"/>
  <c r="D41" i="16"/>
  <c r="E41" i="16"/>
  <c r="G41" i="16"/>
  <c r="D42" i="16"/>
  <c r="E42" i="16"/>
  <c r="G42" i="16"/>
  <c r="D43" i="16"/>
  <c r="E43" i="16"/>
  <c r="G43" i="16"/>
  <c r="D44" i="16"/>
  <c r="E44" i="16"/>
  <c r="G44" i="16"/>
  <c r="D45" i="16"/>
  <c r="E45" i="16"/>
  <c r="G45" i="16"/>
  <c r="D46" i="16"/>
  <c r="E46" i="16"/>
  <c r="G46" i="16"/>
  <c r="J67" i="15"/>
  <c r="J72" i="15"/>
  <c r="K74" i="15" s="1"/>
  <c r="K12" i="15"/>
  <c r="P63" i="15" s="1"/>
  <c r="L12" i="15"/>
  <c r="L14" i="15"/>
  <c r="O15" i="15"/>
  <c r="P52" i="15" s="1"/>
  <c r="P51" i="15"/>
  <c r="I53" i="15"/>
  <c r="K53" i="15" s="1"/>
  <c r="P53" i="15"/>
  <c r="K59" i="15"/>
  <c r="P64" i="15"/>
  <c r="Q76" i="15"/>
  <c r="R21" i="8"/>
  <c r="B5" i="8"/>
  <c r="B3" i="8"/>
  <c r="B14" i="15"/>
  <c r="P66" i="15" l="1"/>
  <c r="C65" i="15" s="1"/>
  <c r="G10" i="16"/>
  <c r="J57" i="15"/>
  <c r="C6" i="15"/>
  <c r="E10" i="16"/>
  <c r="I4" i="15"/>
  <c r="J64" i="15" s="1"/>
  <c r="K49" i="15"/>
  <c r="J63" i="15"/>
  <c r="O14" i="1"/>
  <c r="K50" i="15" l="1"/>
  <c r="P65" i="15"/>
  <c r="C63" i="15" s="1"/>
  <c r="I61" i="1"/>
  <c r="J66" i="15" l="1"/>
  <c r="R76" i="15"/>
  <c r="J6" i="1"/>
  <c r="F8" i="12" s="1"/>
  <c r="L12" i="1" l="1"/>
  <c r="M14" i="1"/>
  <c r="M12" i="1"/>
  <c r="G30" i="8"/>
  <c r="F29" i="13" l="1"/>
  <c r="D5" i="7"/>
  <c r="C4" i="4"/>
  <c r="I3" i="2"/>
  <c r="G4" i="12"/>
  <c r="I3" i="10"/>
  <c r="B3" i="3"/>
  <c r="F32" i="6"/>
  <c r="G2" i="8"/>
  <c r="C3" i="1" l="1"/>
  <c r="A5" i="9" l="1"/>
  <c r="A14" i="4" l="1"/>
  <c r="B14" i="4"/>
  <c r="A13" i="4"/>
  <c r="A7" i="7"/>
  <c r="A5" i="6"/>
  <c r="B4" i="8"/>
  <c r="B7" i="7"/>
  <c r="B13" i="4" l="1"/>
  <c r="C5" i="6"/>
  <c r="F10" i="13" l="1"/>
  <c r="F17" i="13" l="1"/>
  <c r="F11" i="12" l="1"/>
  <c r="G24" i="13" l="1"/>
  <c r="F24" i="13"/>
  <c r="I24" i="13" s="1"/>
  <c r="F23" i="13"/>
  <c r="I23" i="13" s="1"/>
  <c r="F21" i="13"/>
  <c r="I21" i="13" s="1"/>
  <c r="B21" i="13"/>
  <c r="B23" i="13" s="1"/>
  <c r="F20" i="13"/>
  <c r="I20" i="13" s="1"/>
  <c r="F19" i="13"/>
  <c r="F18" i="13"/>
  <c r="C17" i="13"/>
  <c r="C16" i="13"/>
  <c r="E15" i="13"/>
  <c r="I10" i="13"/>
  <c r="E10" i="13" s="1"/>
  <c r="I9" i="13"/>
  <c r="E8" i="13" s="1"/>
  <c r="G19" i="13" s="1"/>
  <c r="I19" i="13" s="1"/>
  <c r="F6" i="13"/>
  <c r="G6" i="13" s="1"/>
  <c r="A3" i="4"/>
  <c r="A1" i="6"/>
  <c r="I59" i="1"/>
  <c r="I63" i="1"/>
  <c r="C6" i="1" l="1"/>
  <c r="G17" i="13"/>
  <c r="I17" i="13" s="1"/>
  <c r="F16" i="13"/>
  <c r="F26" i="13" s="1"/>
  <c r="F28" i="13" s="1"/>
  <c r="G18" i="13"/>
  <c r="I18" i="13" s="1"/>
  <c r="C8" i="1"/>
  <c r="G15" i="13"/>
  <c r="I16" i="13" l="1"/>
  <c r="G26" i="13"/>
  <c r="G28" i="13" s="1"/>
  <c r="I15" i="13"/>
  <c r="I26" i="13" l="1"/>
  <c r="J26" i="13" s="1"/>
  <c r="Q69" i="1"/>
  <c r="D11" i="6" l="1"/>
  <c r="A32" i="6" l="1"/>
  <c r="L14" i="8" l="1"/>
  <c r="R20" i="8"/>
  <c r="R19" i="8"/>
  <c r="C30" i="12"/>
  <c r="B30" i="12"/>
  <c r="C29" i="12"/>
  <c r="B29" i="12"/>
  <c r="C28" i="12"/>
  <c r="B28" i="12"/>
  <c r="C27" i="12"/>
  <c r="B27" i="12"/>
  <c r="C26" i="12"/>
  <c r="B26" i="12"/>
  <c r="C25" i="12"/>
  <c r="B25" i="12"/>
  <c r="C24" i="12"/>
  <c r="B24" i="12"/>
  <c r="C23" i="12"/>
  <c r="B23" i="12"/>
  <c r="C22" i="12"/>
  <c r="B22" i="12"/>
  <c r="C21" i="12"/>
  <c r="B21" i="12"/>
  <c r="C20" i="12"/>
  <c r="B20" i="12"/>
  <c r="C19" i="12"/>
  <c r="B19" i="12"/>
  <c r="C18" i="12"/>
  <c r="B18" i="12"/>
  <c r="C17" i="12"/>
  <c r="B17" i="12"/>
  <c r="C16" i="12"/>
  <c r="B16" i="12"/>
  <c r="C15" i="12"/>
  <c r="B15" i="12"/>
  <c r="C14" i="12"/>
  <c r="B14" i="12"/>
  <c r="C13" i="12"/>
  <c r="B13" i="12"/>
  <c r="C12" i="12"/>
  <c r="B12" i="12"/>
  <c r="C11" i="12"/>
  <c r="F10" i="12"/>
  <c r="C10" i="12"/>
  <c r="S17" i="8" l="1"/>
  <c r="L20" i="1"/>
  <c r="K20" i="15"/>
  <c r="L23" i="1"/>
  <c r="K23" i="15"/>
  <c r="L27" i="1"/>
  <c r="K27" i="15"/>
  <c r="L29" i="1"/>
  <c r="K29" i="15"/>
  <c r="L22" i="1"/>
  <c r="K22" i="15"/>
  <c r="L24" i="1"/>
  <c r="K24" i="15"/>
  <c r="L26" i="1"/>
  <c r="K26" i="15"/>
  <c r="L28" i="1"/>
  <c r="K28" i="15"/>
  <c r="L30" i="1"/>
  <c r="K30" i="15"/>
  <c r="L32" i="1"/>
  <c r="K32" i="15"/>
  <c r="L34" i="1"/>
  <c r="K34" i="15"/>
  <c r="L36" i="1"/>
  <c r="K36" i="15"/>
  <c r="L38" i="1"/>
  <c r="K38" i="15"/>
  <c r="L19" i="1"/>
  <c r="K19" i="15"/>
  <c r="L21" i="1"/>
  <c r="K21" i="15"/>
  <c r="L25" i="1"/>
  <c r="K25" i="15"/>
  <c r="L31" i="1"/>
  <c r="K31" i="15"/>
  <c r="L33" i="1"/>
  <c r="K33" i="15"/>
  <c r="L35" i="1"/>
  <c r="K35" i="15"/>
  <c r="L37" i="1"/>
  <c r="K37" i="15"/>
  <c r="L39" i="1"/>
  <c r="K39" i="15"/>
  <c r="M9" i="1"/>
  <c r="S20" i="8"/>
  <c r="I21" i="8" s="1"/>
  <c r="I23" i="8" l="1"/>
  <c r="I19" i="8"/>
  <c r="I24" i="8"/>
  <c r="B20" i="15"/>
  <c r="S19" i="8"/>
  <c r="I20" i="8" s="1"/>
  <c r="S21" i="8"/>
  <c r="I22" i="8" s="1"/>
  <c r="M11" i="1"/>
  <c r="L9" i="15"/>
  <c r="O39" i="15"/>
  <c r="F32" i="12"/>
  <c r="L13" i="8"/>
  <c r="S22" i="8" l="1"/>
  <c r="L50" i="15"/>
  <c r="J13" i="8"/>
  <c r="K26" i="8" l="1"/>
  <c r="N54" i="1"/>
  <c r="J14" i="8" l="1"/>
  <c r="B11" i="12" l="1"/>
  <c r="E11" i="12" s="1"/>
  <c r="O15" i="1"/>
  <c r="N53" i="1" s="1"/>
  <c r="I44" i="10"/>
  <c r="L48" i="1" l="1"/>
  <c r="P69" i="1" s="1"/>
  <c r="K47" i="15"/>
  <c r="P76" i="15" s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C39" i="1"/>
  <c r="C38" i="1"/>
  <c r="C37" i="1"/>
  <c r="C36" i="1"/>
  <c r="C35" i="1"/>
  <c r="C34" i="1"/>
  <c r="C33" i="1"/>
  <c r="C32" i="1"/>
  <c r="C31" i="1"/>
  <c r="C30" i="1"/>
  <c r="C29" i="1"/>
  <c r="B6" i="7" l="1"/>
  <c r="A1" i="7"/>
  <c r="C12" i="4"/>
  <c r="B12" i="4"/>
  <c r="B11" i="4"/>
  <c r="C10" i="4"/>
  <c r="B10" i="4"/>
  <c r="C3" i="4"/>
  <c r="K33" i="2"/>
  <c r="F37" i="3"/>
  <c r="F22" i="3"/>
  <c r="F21" i="3"/>
  <c r="F23" i="3" s="1"/>
  <c r="F19" i="3"/>
  <c r="K43" i="15" s="1"/>
  <c r="N76" i="15" s="1"/>
  <c r="J54" i="1"/>
  <c r="L54" i="1" s="1"/>
  <c r="L44" i="1"/>
  <c r="L43" i="1"/>
  <c r="C28" i="1"/>
  <c r="I27" i="1"/>
  <c r="F27" i="1"/>
  <c r="C27" i="1"/>
  <c r="I26" i="1"/>
  <c r="F26" i="1"/>
  <c r="C26" i="1"/>
  <c r="I25" i="1"/>
  <c r="F25" i="1"/>
  <c r="C25" i="1"/>
  <c r="I24" i="1"/>
  <c r="F24" i="1"/>
  <c r="C24" i="1"/>
  <c r="I23" i="1"/>
  <c r="F23" i="1"/>
  <c r="C23" i="1"/>
  <c r="I22" i="1"/>
  <c r="F22" i="1"/>
  <c r="C22" i="1"/>
  <c r="I21" i="1"/>
  <c r="F21" i="1"/>
  <c r="C21" i="1"/>
  <c r="I20" i="1"/>
  <c r="F20" i="1"/>
  <c r="I19" i="1"/>
  <c r="L50" i="1"/>
  <c r="J8" i="1"/>
  <c r="K2" i="1"/>
  <c r="I2" i="1"/>
  <c r="D8" i="1" s="1"/>
  <c r="B26" i="6"/>
  <c r="B25" i="6"/>
  <c r="B24" i="6"/>
  <c r="B20" i="6"/>
  <c r="B11" i="6"/>
  <c r="F4" i="6"/>
  <c r="E4" i="6"/>
  <c r="C4" i="6"/>
  <c r="E3" i="6"/>
  <c r="C3" i="6"/>
  <c r="F2" i="6"/>
  <c r="D2" i="6"/>
  <c r="F19" i="1"/>
  <c r="C30" i="8"/>
  <c r="E26" i="8"/>
  <c r="D26" i="8"/>
  <c r="B29" i="6" s="1"/>
  <c r="F25" i="8"/>
  <c r="D25" i="8"/>
  <c r="J11" i="8"/>
  <c r="I16" i="8" s="1"/>
  <c r="J3" i="8"/>
  <c r="G1" i="8"/>
  <c r="L46" i="1" l="1"/>
  <c r="K45" i="15"/>
  <c r="S76" i="15" s="1"/>
  <c r="L45" i="1"/>
  <c r="O69" i="1" s="1"/>
  <c r="K44" i="15"/>
  <c r="O76" i="15" s="1"/>
  <c r="E11" i="6"/>
  <c r="B19" i="15"/>
  <c r="K2" i="15"/>
  <c r="G2" i="16" s="1"/>
  <c r="N69" i="1"/>
  <c r="B28" i="6"/>
  <c r="D6" i="1"/>
  <c r="E2" i="3"/>
  <c r="S69" i="1"/>
  <c r="I35" i="2"/>
  <c r="E6" i="2"/>
  <c r="G8" i="2" s="1"/>
  <c r="I33" i="2" s="1"/>
  <c r="C19" i="1"/>
  <c r="B10" i="12"/>
  <c r="I15" i="8"/>
  <c r="F1" i="6"/>
  <c r="C20" i="1"/>
  <c r="B22" i="4"/>
  <c r="O39" i="1"/>
  <c r="G2" i="2"/>
  <c r="D4" i="1"/>
  <c r="J4" i="1"/>
  <c r="L51" i="1" s="1"/>
  <c r="L2" i="1"/>
  <c r="I2" i="10" s="1"/>
  <c r="F13" i="6" l="1"/>
  <c r="F12" i="6"/>
  <c r="I37" i="2"/>
  <c r="F11" i="6"/>
  <c r="B5" i="12"/>
  <c r="N52" i="1"/>
  <c r="F2" i="2"/>
  <c r="D2" i="3"/>
  <c r="I2" i="2"/>
  <c r="F2" i="3"/>
  <c r="L52" i="1" l="1"/>
  <c r="T69" i="1" s="1"/>
  <c r="K51" i="15"/>
  <c r="E14" i="6"/>
  <c r="F14" i="6"/>
  <c r="M51" i="1"/>
  <c r="R69" i="1"/>
  <c r="L55" i="1"/>
  <c r="I58" i="1" l="1"/>
  <c r="L67" i="1" s="1"/>
  <c r="C69" i="1" s="1"/>
  <c r="L69" i="1" l="1"/>
  <c r="B17" i="4" s="1"/>
  <c r="A22" i="4" l="1"/>
  <c r="A18" i="4"/>
  <c r="B23" i="4"/>
  <c r="C26" i="4"/>
  <c r="B26" i="4" s="1"/>
  <c r="B19" i="4"/>
  <c r="A19" i="4"/>
  <c r="A23" i="4"/>
  <c r="A17" i="4"/>
  <c r="A16" i="4"/>
  <c r="A21" i="4"/>
  <c r="B20" i="4"/>
  <c r="C27" i="4"/>
  <c r="A20" i="4"/>
  <c r="J58" i="15"/>
  <c r="T76" i="15" l="1"/>
  <c r="K54" i="15"/>
  <c r="J68" i="15"/>
  <c r="K58" i="15"/>
  <c r="K60" i="15" s="1"/>
  <c r="J62" i="15" s="1"/>
  <c r="K69" i="15" l="1"/>
  <c r="K62" i="15"/>
  <c r="K71" i="15" l="1"/>
  <c r="K76" i="15" s="1"/>
  <c r="P71" i="15"/>
  <c r="L71" i="15"/>
  <c r="F76" i="15" l="1"/>
  <c r="B76" i="1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C:\Users\Reto\Dropbox (Privat)\Schneezueri allgemeiner Ordner\Wegleitung\2x_Wegleitung &amp; Formulare\Personaltabelle.xlsx" keepAlive="1" name="Personaltabelle" type="5" refreshedVersion="4" background="1" saveData="1">
    <dbPr connection="Provider=Microsoft.ACE.OLEDB.12.0;User ID=Admin;Data Source=C:\Users\Reto\Dropbox (Privat)\Schneezueri allgemeiner Ordner\Wegleitung\_Wegleitung &amp; Formulare aktuel\Personaltabelle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Personaldaten$" commandType="3"/>
  </connection>
</connections>
</file>

<file path=xl/sharedStrings.xml><?xml version="1.0" encoding="utf-8"?>
<sst xmlns="http://schemas.openxmlformats.org/spreadsheetml/2006/main" count="5065" uniqueCount="3196">
  <si>
    <t>Rechnungsbetrag</t>
  </si>
  <si>
    <t>Fahrtkosten (Reise an den Kursort und zurück)</t>
  </si>
  <si>
    <t>Skiliftausgaben</t>
  </si>
  <si>
    <t>Total Ausgaben</t>
  </si>
  <si>
    <t>Total Einnahmen</t>
  </si>
  <si>
    <t>LeiterInnen-Kinder im Volksschulalter: pauschale Vergütung</t>
  </si>
  <si>
    <t>Anzahl berechtigte TeilnehmerInnen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</si>
  <si>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</si>
  <si>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</si>
  <si>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</si>
  <si>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</si>
  <si>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</si>
  <si>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</si>
  <si>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</si>
  <si>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</si>
  <si>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</si>
  <si>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k)</t>
  </si>
  <si>
    <t>Grundsätzlich sollen besondere Auslagen zuerst durch J+S-Gelder gedeckt werden.</t>
  </si>
  <si>
    <t>Entschädigung Organisation eines J+S-Kurses</t>
  </si>
  <si>
    <t xml:space="preserve"> bei Pension</t>
  </si>
  <si>
    <t>bei Selbstv.</t>
  </si>
  <si>
    <t>nur Leiter</t>
  </si>
  <si>
    <t>nur Küche</t>
  </si>
  <si>
    <t>vom</t>
  </si>
  <si>
    <t xml:space="preserve">  Anzahl Lagertage</t>
  </si>
  <si>
    <t>TeilnehmerInnen</t>
  </si>
  <si>
    <t>Name:</t>
  </si>
  <si>
    <t xml:space="preserve">  Verpflegung (S/P)</t>
  </si>
  <si>
    <t>Total</t>
  </si>
  <si>
    <t>Ausgabenübersicht</t>
  </si>
  <si>
    <t>Rek.spesen (pauschal 100.- bei P, 200.- bei S, Bewilligung erforderlich)</t>
  </si>
  <si>
    <t xml:space="preserve"> x Fr. 200.-</t>
  </si>
  <si>
    <t>Vorschuss schneezüri.ch</t>
  </si>
  <si>
    <t>Hauptleitung:</t>
  </si>
  <si>
    <t>(S=Selbstverpfl. P=Pension)</t>
  </si>
  <si>
    <t>E-Mail-Adresse:</t>
  </si>
  <si>
    <t>Ort, Datum:</t>
  </si>
  <si>
    <t>(Unterschrift auf Beiblatt)</t>
  </si>
  <si>
    <t>ja</t>
  </si>
  <si>
    <t>Porti, Telefone, Trinkgelder (pauschal Fr. 2.- pro Person)</t>
  </si>
  <si>
    <t>nein</t>
  </si>
  <si>
    <t>bis</t>
  </si>
  <si>
    <t>l)</t>
  </si>
  <si>
    <t>m)</t>
  </si>
  <si>
    <t>n)</t>
  </si>
  <si>
    <t>Anzahl teilnehmende Schüler/innen</t>
  </si>
  <si>
    <t>abgemeldete Schüler/innen</t>
  </si>
  <si>
    <t>zusätzlich bewilligte Leiter/innen</t>
  </si>
  <si>
    <r>
      <t xml:space="preserve">davon Leiter/innenkinder </t>
    </r>
    <r>
      <rPr>
        <i/>
        <sz val="10"/>
        <rFont val="Arial"/>
        <family val="2"/>
      </rPr>
      <t>im Volksschulalter</t>
    </r>
  </si>
  <si>
    <t>Position</t>
  </si>
  <si>
    <t>Gepäcktransporte/Privatauto</t>
  </si>
  <si>
    <t>Leiterentschädigungen (Unterschriftenblatt beilegen!)</t>
  </si>
  <si>
    <t>Fahrkosten (SBB oder Car)</t>
  </si>
  <si>
    <t>Extrafahrtkosten Leiterinnen (SBB Tarif 2. Klasse, Wohnort bis Zürich retour)</t>
  </si>
  <si>
    <t>Fahrt mit Privatwagen (Vergütung des Gruppentarifes SBB/Car)</t>
  </si>
  <si>
    <t>Name, Vorname</t>
  </si>
  <si>
    <t>Name, Strecke</t>
  </si>
  <si>
    <t>2.2b</t>
  </si>
  <si>
    <t>2.2a</t>
  </si>
  <si>
    <t>GR</t>
  </si>
  <si>
    <t>TI</t>
  </si>
  <si>
    <t>FR</t>
  </si>
  <si>
    <t>VS</t>
  </si>
  <si>
    <t>BE</t>
  </si>
  <si>
    <t>AR</t>
  </si>
  <si>
    <t>LU</t>
  </si>
  <si>
    <t>GL</t>
  </si>
  <si>
    <t>SZ</t>
  </si>
  <si>
    <t>UR</t>
  </si>
  <si>
    <t>OW</t>
  </si>
  <si>
    <t>NW</t>
  </si>
  <si>
    <t>Summe aller Extrafahrtkosten</t>
  </si>
  <si>
    <t>Gepäcktransporte (Rechnung SBB und/oder Bergbahnen)</t>
  </si>
  <si>
    <t>Gepäcktransporte (1. Privatauto) Kanton eingeben!</t>
  </si>
  <si>
    <t>Gepäcktransporte (2. Privatauto für Küche bei Selbstverpflegungslager)</t>
  </si>
  <si>
    <t>Summe aller Gepäcktransportkosten</t>
  </si>
  <si>
    <t>Summe aller besonderen Auslagen</t>
  </si>
  <si>
    <t>J+S-Abrechnung (siehe dritte Tabelle)</t>
  </si>
  <si>
    <r>
      <t xml:space="preserve">J+S-Abrechnung </t>
    </r>
    <r>
      <rPr>
        <sz val="12"/>
        <rFont val="Arial"/>
        <family val="2"/>
      </rPr>
      <t>(Position 3.0)</t>
    </r>
  </si>
  <si>
    <t>Extra-Fahrtkosten Leiter/innen für Campanreise</t>
  </si>
  <si>
    <t>o)</t>
  </si>
  <si>
    <t>Summe (höchstens gleich Maximalbetrag)</t>
  </si>
  <si>
    <r>
      <t xml:space="preserve">Auflistung der durch J+S-Geld gedeckten besonderen Auslagen </t>
    </r>
    <r>
      <rPr>
        <b/>
        <sz val="10"/>
        <rFont val="Arial"/>
        <family val="2"/>
      </rPr>
      <t>für den Camp-Betrieb</t>
    </r>
    <r>
      <rPr>
        <sz val="10"/>
        <rFont val="Arial"/>
        <family val="2"/>
      </rPr>
      <t>:</t>
    </r>
  </si>
  <si>
    <r>
      <t xml:space="preserve">Einnahmenübersicht </t>
    </r>
    <r>
      <rPr>
        <sz val="10"/>
        <rFont val="Arial"/>
        <family val="2"/>
      </rPr>
      <t>(Rechnungen, die von schneezüri.ch bezahlt werden, gelten als Einnahmen)</t>
    </r>
  </si>
  <si>
    <t>p)</t>
  </si>
  <si>
    <t>q)</t>
  </si>
  <si>
    <t>r)</t>
  </si>
  <si>
    <t>s)</t>
  </si>
  <si>
    <t>t)</t>
  </si>
  <si>
    <t>u)</t>
  </si>
  <si>
    <t>v)</t>
  </si>
  <si>
    <t>S</t>
  </si>
  <si>
    <t>P</t>
  </si>
  <si>
    <t>bewilligte HilfsleiterInnen</t>
  </si>
  <si>
    <t>berechtigte
LeiterInnen</t>
  </si>
  <si>
    <t>1. Hauptleitung</t>
  </si>
  <si>
    <t>Name / Vorname</t>
  </si>
  <si>
    <t>Strasse</t>
  </si>
  <si>
    <t>PLZ / Ort</t>
  </si>
  <si>
    <t>Ort</t>
  </si>
  <si>
    <t>Datum</t>
  </si>
  <si>
    <t>Unterschrift</t>
  </si>
  <si>
    <t>Beilagen für Camps:</t>
  </si>
  <si>
    <t>Betrag</t>
  </si>
  <si>
    <t>Vorbereitungsentschädigung Hauptleiter</t>
  </si>
  <si>
    <t>Vorbereitungsentschädigung Koch/Köchin</t>
  </si>
  <si>
    <t>Lagerentschädigungen:</t>
  </si>
  <si>
    <t>Hauptleitung</t>
  </si>
  <si>
    <t>Küchenchef</t>
  </si>
  <si>
    <t>MitleiterIn</t>
  </si>
  <si>
    <t>Total Leiterentschädigungen</t>
  </si>
  <si>
    <t xml:space="preserve"> </t>
  </si>
  <si>
    <t>Betrag zu Gunsten von</t>
  </si>
  <si>
    <t>Kontoinhaber:</t>
  </si>
  <si>
    <t>Bankadresse:</t>
  </si>
  <si>
    <t>Bank:</t>
  </si>
  <si>
    <t>oder</t>
  </si>
  <si>
    <t>lautend auf:</t>
  </si>
  <si>
    <t>Postkonto:</t>
  </si>
  <si>
    <t>Bitte überweisen Sie mir obigen Vorschuss auf folgendes Konto:</t>
  </si>
  <si>
    <t>Kontoangaben</t>
  </si>
  <si>
    <t>Anzahl</t>
  </si>
  <si>
    <t>Mitleiter</t>
  </si>
  <si>
    <t>Teilnehmer</t>
  </si>
  <si>
    <t>Adresse Hauptleitung</t>
  </si>
  <si>
    <t>IBAN-Nr.:</t>
  </si>
  <si>
    <t>Vorname</t>
  </si>
  <si>
    <t>Name</t>
  </si>
  <si>
    <t>Plz</t>
  </si>
  <si>
    <t>Nr.</t>
  </si>
  <si>
    <t>Notiere zu den folgenden Punkten besondere Vorkommnisse, ansonsten genügen Bemerkungen</t>
  </si>
  <si>
    <t>Unterkunft/Verpflegung</t>
  </si>
  <si>
    <t>Skigebiet/Bergbahnen</t>
  </si>
  <si>
    <t>Unfälle/Krankheiten</t>
  </si>
  <si>
    <t>Reise</t>
  </si>
  <si>
    <t>Verschiedenes</t>
  </si>
  <si>
    <t>Datum:                                            Unterschrift:</t>
  </si>
  <si>
    <t>Ort:</t>
  </si>
  <si>
    <t xml:space="preserve">Abrechnung         </t>
  </si>
  <si>
    <t>J</t>
  </si>
  <si>
    <t>N</t>
  </si>
  <si>
    <t>J+S zuschl.</t>
  </si>
  <si>
    <r>
      <t>wie “gut”, “sehr gut” oder “keine”</t>
    </r>
    <r>
      <rPr>
        <b/>
        <sz val="12"/>
        <color indexed="8"/>
        <rFont val="Arial"/>
        <family val="2"/>
      </rPr>
      <t>.</t>
    </r>
  </si>
  <si>
    <t xml:space="preserve">    Ich leite das Camp nicht mehr, schlage aber</t>
  </si>
  <si>
    <t>als Hauptleiter vor.</t>
  </si>
  <si>
    <t>………………………..</t>
  </si>
  <si>
    <t>davon Leiter
 mit J&amp;S</t>
  </si>
  <si>
    <r>
      <t>dieses Formular bitte der Abrechnung beilegen.)</t>
    </r>
    <r>
      <rPr>
        <b/>
        <sz val="12"/>
        <color indexed="8"/>
        <rFont val="Arial"/>
        <family val="2"/>
      </rPr>
      <t xml:space="preserve"> </t>
    </r>
  </si>
  <si>
    <t>Entschädigungen</t>
  </si>
  <si>
    <t>KüChe</t>
  </si>
  <si>
    <t>Hauptleiter</t>
  </si>
  <si>
    <t>Leiter/Küche</t>
  </si>
  <si>
    <t>J+S</t>
  </si>
  <si>
    <t>Pausachle</t>
  </si>
  <si>
    <t>Ansatz</t>
  </si>
  <si>
    <t>Lagertage</t>
  </si>
  <si>
    <t>S = Selbsverpflegung
P = Pension</t>
  </si>
  <si>
    <t>Planwerte</t>
  </si>
  <si>
    <t>Adresse:</t>
  </si>
  <si>
    <t>E-Mail / Mobile:</t>
  </si>
  <si>
    <t>E-Mail</t>
  </si>
  <si>
    <t>Mobile</t>
  </si>
  <si>
    <t>ev. Tel. Privat / Geschäft:</t>
  </si>
  <si>
    <t>Privat</t>
  </si>
  <si>
    <t>Geschäft</t>
  </si>
  <si>
    <t>(für Vorschuss und Schlusszahlung)</t>
  </si>
  <si>
    <t>Postcheckkonto-Nr.:</t>
  </si>
  <si>
    <t>IBAN:</t>
  </si>
  <si>
    <t>PLZ, Ort:</t>
  </si>
  <si>
    <t xml:space="preserve">           Konto lautend auf:</t>
  </si>
  <si>
    <t>Plz, Ort:</t>
  </si>
  <si>
    <r>
      <t xml:space="preserve">Co-Leitung: </t>
    </r>
    <r>
      <rPr>
        <sz val="10"/>
        <color indexed="8"/>
        <rFont val="Arial"/>
        <family val="2"/>
      </rPr>
      <t>(wenn vorhanden)</t>
    </r>
  </si>
  <si>
    <t>Tages-pauschale</t>
  </si>
  <si>
    <t>Anzahl Lagertage</t>
  </si>
  <si>
    <t>Vorschuss für Leiterentschädigung, Verpflegung</t>
  </si>
  <si>
    <t>Kurzanleitung zu den vorliegenden Abrechnungsformularen für Camps.</t>
  </si>
  <si>
    <t>Graue Wert in den Zellen erläutert den auszufüllenden Wert und werden,</t>
  </si>
  <si>
    <t>Alle Blätter können auch ausgedruckt und handschriftlich ausgefüllt werden. Sollte dies bevorzugt werden,</t>
  </si>
  <si>
    <t>müssen alle grauen Werte vor dem Ausdruck aus den gelben Feldern gelöscht werden.</t>
  </si>
  <si>
    <t>Empf. Anzahl Leiter</t>
  </si>
  <si>
    <t>Hauptleitung*:</t>
  </si>
  <si>
    <t>Adresse*:</t>
  </si>
  <si>
    <t>E-Mail* / Mobile*:</t>
  </si>
  <si>
    <t>Kontoangaben*</t>
  </si>
  <si>
    <r>
      <t xml:space="preserve">LeiterInnen-Team* </t>
    </r>
    <r>
      <rPr>
        <sz val="10"/>
        <rFont val="Arial"/>
        <family val="2"/>
      </rPr>
      <t>(bitte detailliert ausfüllen)</t>
    </r>
  </si>
  <si>
    <t>Name*:</t>
  </si>
  <si>
    <t>J+S* (j / n)</t>
  </si>
  <si>
    <t>Anzahl Teilnehmer*</t>
  </si>
  <si>
    <t xml:space="preserve">  Verpflegung*</t>
  </si>
  <si>
    <t>Anzahl Leiter*</t>
  </si>
  <si>
    <t>Davon Leiterkinder*</t>
  </si>
  <si>
    <t>Anzahl Tage*</t>
  </si>
  <si>
    <t>J+S* (J/N)</t>
  </si>
  <si>
    <t>Plichtfelder sind mit einem  *  gekennzeichnet.</t>
  </si>
  <si>
    <t>Camp Nr. *</t>
  </si>
  <si>
    <t>wenn überschrieben, in schwarzer Schrift dargestellt.</t>
  </si>
  <si>
    <t>Vorschuss:</t>
  </si>
  <si>
    <t xml:space="preserve">Bis auf die Tagespauschale werden alle Felder aus den Stammdaten übernommen. </t>
  </si>
  <si>
    <t>beschrieben.</t>
  </si>
  <si>
    <t>! Das Überschreiben der übertragenen Werte führt zum Verlust der Verknüpfung. Dh. wenn danach Daten</t>
  </si>
  <si>
    <t>! werden.</t>
  </si>
  <si>
    <t>Unterschriftsblatt:</t>
  </si>
  <si>
    <t>Die Namen und das J+S Feld werden aus dem Stammblatt übernommen. Die Anzahl anwesender Lagertage muss</t>
  </si>
  <si>
    <t>allerdings manuell eingetragen werden. Die vom Stammblatt übernommenen Werte könen überschrieben werden.</t>
  </si>
  <si>
    <t>Camp-Abrechnung:</t>
  </si>
  <si>
    <t>! im Stammblatt angepasst werden, kann die Aktualisierung auf den Folgeblätter nicht mehr gewährleisten</t>
  </si>
  <si>
    <t>Im Folgenden wird dokumentiert welche Felder in den einzelnen Arbeitsblätter manuell ergänzt werden müssen.</t>
  </si>
  <si>
    <t xml:space="preserve">Die Auswahlkriterien für die drei Werte, die mittels Droppdown ausgewählt werden, sind im Formular "Vorschuss" </t>
  </si>
  <si>
    <t>Funktion</t>
  </si>
  <si>
    <t>ver.</t>
  </si>
  <si>
    <t>Kurzanleitung Abrechnungsformulare</t>
  </si>
  <si>
    <t>Die Kopfdaten sowie die Leiterinformationen werden aus dem Datenstammblatt übernommen</t>
  </si>
  <si>
    <t>Wenn kein Selbsverpflegungslager, bitte die Zeile des Küchenchefs frei lassen.</t>
  </si>
  <si>
    <t>Bitte nur in die gelb unterlegten Zellen schreiben. (alle andern Zellen sind gesperrt)</t>
  </si>
  <si>
    <t>Korrektur Leiterbeiträge</t>
  </si>
  <si>
    <t>Korrekturposten Ausgaben; Teilzeitleiter (Betrag für nicht anwesende Tage)</t>
  </si>
  <si>
    <r>
      <t xml:space="preserve">LeiterInnen-Team* </t>
    </r>
    <r>
      <rPr>
        <sz val="10"/>
        <rFont val="Arial"/>
        <family val="2"/>
      </rPr>
      <t>(bitte detailliert ausfüllen)</t>
    </r>
  </si>
  <si>
    <t>Anzahl Leiter</t>
  </si>
  <si>
    <t>Anzahl Küche</t>
  </si>
  <si>
    <t>(min. 2, + 1 je 8 Teilnehmer)</t>
  </si>
  <si>
    <t>(ab 21 Teiln. 2
 ab 41 Teiln. 3)</t>
  </si>
  <si>
    <t>TG</t>
  </si>
  <si>
    <t>w)</t>
  </si>
  <si>
    <t>x)</t>
  </si>
  <si>
    <t>y)</t>
  </si>
  <si>
    <t>z)</t>
  </si>
  <si>
    <t>aa)</t>
  </si>
  <si>
    <t>ab)</t>
  </si>
  <si>
    <t>ac)</t>
  </si>
  <si>
    <t>ad)</t>
  </si>
  <si>
    <t>ae)</t>
  </si>
  <si>
    <t>af)</t>
  </si>
  <si>
    <t>ag)</t>
  </si>
  <si>
    <t>ah)</t>
  </si>
  <si>
    <t>ai)</t>
  </si>
  <si>
    <t>aj)</t>
  </si>
  <si>
    <t>ak)</t>
  </si>
  <si>
    <t>al)</t>
  </si>
  <si>
    <t>2.1 SBB oder Carrechnung</t>
  </si>
  <si>
    <t>2.7 Ski-Abonnemente</t>
  </si>
  <si>
    <t>2.4 besondere Auslagen</t>
  </si>
  <si>
    <t>2.3a</t>
  </si>
  <si>
    <t>2.3b</t>
  </si>
  <si>
    <t>2.3c</t>
  </si>
  <si>
    <t>2.4a</t>
  </si>
  <si>
    <t>2.4b</t>
  </si>
  <si>
    <t>2.4c</t>
  </si>
  <si>
    <t>2.4d</t>
  </si>
  <si>
    <t>2.4e</t>
  </si>
  <si>
    <t>2.4f</t>
  </si>
  <si>
    <t>2.4g</t>
  </si>
  <si>
    <t>2.4h</t>
  </si>
  <si>
    <t>2.4i</t>
  </si>
  <si>
    <t>2.4k</t>
  </si>
  <si>
    <t>2.4l</t>
  </si>
  <si>
    <t>2.4m</t>
  </si>
  <si>
    <t>Positionen 2.1 - 2.4</t>
  </si>
  <si>
    <t>Bitte Beleg mit der ensprechenden Referenz kennzeichnen.</t>
  </si>
  <si>
    <t>(Summe muss mit Position 2.9 der Abrechnung übereinstimmen;</t>
  </si>
  <si>
    <t>(Position 2.9)</t>
  </si>
  <si>
    <r>
      <t xml:space="preserve">Unterschrift: </t>
    </r>
    <r>
      <rPr>
        <sz val="8"/>
        <rFont val="Arial"/>
        <family val="2"/>
      </rPr>
      <t>(elektronisch)</t>
    </r>
  </si>
  <si>
    <t>Bitte nicht vergessen auszufüllen !</t>
  </si>
  <si>
    <r>
      <t xml:space="preserve">Unterschrift </t>
    </r>
    <r>
      <rPr>
        <sz val="9"/>
        <rFont val="Arial"/>
        <family val="2"/>
      </rPr>
      <t>(elektronisch)</t>
    </r>
  </si>
  <si>
    <t>Dieses Beiblatt dient zur Auszahlung / Rechnungstellung des Abrechnungssaldo</t>
  </si>
  <si>
    <t>an den Hauptleiter.</t>
  </si>
  <si>
    <t>- Abrechnungsfile  (elektronisch in .xlsb Format)</t>
  </si>
  <si>
    <t>- Alle Belege/Rechnungskopien (in .pdf Format)</t>
  </si>
  <si>
    <t>- Unterschriftenblatt Entschädigungen (in .pdf Format)</t>
  </si>
  <si>
    <t>- Lagerbericht (im Abrechnungsfile ausreichend)</t>
  </si>
  <si>
    <r>
      <t xml:space="preserve">Bitte das ganze Abrechnungsfile im </t>
    </r>
    <r>
      <rPr>
        <b/>
        <sz val="10"/>
        <color rgb="FFFF0000"/>
        <rFont val="Arial"/>
        <family val="2"/>
      </rPr>
      <t>Excelformat</t>
    </r>
    <r>
      <rPr>
        <sz val="10"/>
        <color rgb="FFFF0000"/>
        <rFont val="Arial"/>
        <family val="2"/>
      </rPr>
      <t xml:space="preserve"> per E-Mail einreichen.</t>
    </r>
  </si>
  <si>
    <r>
      <t xml:space="preserve">Auftstellung Küche, Verpflegung / Pension </t>
    </r>
    <r>
      <rPr>
        <sz val="12"/>
        <rFont val="Arial"/>
        <family val="2"/>
      </rPr>
      <t>(Position 2.6)</t>
    </r>
  </si>
  <si>
    <t xml:space="preserve">ab Teilnehmer </t>
  </si>
  <si>
    <t>Anz. Leiter</t>
  </si>
  <si>
    <t>zus. Teiln.</t>
  </si>
  <si>
    <t>Tage mal 
Fr. 140.-</t>
  </si>
  <si>
    <t>Hilfsleiter (zw. 16 und 18jährige)</t>
  </si>
  <si>
    <t>HilfsleiterIn</t>
  </si>
  <si>
    <t>Anz. Hilfsleiter</t>
  </si>
  <si>
    <t>Max. Anzahl Hilfsleiter</t>
  </si>
  <si>
    <t>abrechnung@schneezueri.ch</t>
  </si>
  <si>
    <t>davon J+S Leiter*</t>
  </si>
  <si>
    <t>Anzahl Hilfsleiter</t>
  </si>
  <si>
    <t>Geburtsdatum*</t>
  </si>
  <si>
    <t>E-Mail-Adresse*:</t>
  </si>
  <si>
    <t>Küche:</t>
  </si>
  <si>
    <t>Unterschriftenblatt</t>
  </si>
  <si>
    <t>Versa + Entschädigsempfehlung Camps</t>
  </si>
  <si>
    <t>(Datum)</t>
  </si>
  <si>
    <t xml:space="preserve">Die Leiterpersonen bestätigen mit Ihrer Unterschrift die Versa - Richtinien gelesen und  </t>
  </si>
  <si>
    <t>befolgt, sowie die Enschädigungsempfehlungen von Schneezüri gesehen zu haben.</t>
  </si>
  <si>
    <t>J+S Lager (Ja / Nein)</t>
  </si>
  <si>
    <t>Anz. DB</t>
  </si>
  <si>
    <t>Anz. J&amp;S Leiter Liste</t>
  </si>
  <si>
    <t>Kontroll Zahl</t>
  </si>
  <si>
    <t xml:space="preserve">J&amp;S Lager </t>
  </si>
  <si>
    <t>Sport DB Zugang* (x)</t>
  </si>
  <si>
    <t>Kommentar</t>
  </si>
  <si>
    <t>Diese Enschädigung wird nur angezeigt, 
wenn in der Lager-Abrechnung das Lager als Selbsverpfleger gekennzeichnet ist.</t>
  </si>
  <si>
    <t>Die Namen und der J&amp;S Status wird von den Stammdaten übernommen</t>
  </si>
  <si>
    <t>Die Anzahl Tage muss von Hand eingetragen werden</t>
  </si>
  <si>
    <t>Dies Zeile ist nur für Selbskocher verfügbar</t>
  </si>
  <si>
    <t>https://www.schneezueri.ch/leiter_innen/Formulare/Versa_Merkblatt_Trainer.pdf</t>
  </si>
  <si>
    <r>
      <t xml:space="preserve">
Unter </t>
    </r>
    <r>
      <rPr>
        <b/>
        <i/>
        <sz val="12"/>
        <color indexed="8"/>
        <rFont val="Arial"/>
        <family val="2"/>
      </rPr>
      <t>Tage</t>
    </r>
    <r>
      <rPr>
        <sz val="12"/>
        <color indexed="8"/>
        <rFont val="Arial"/>
        <family val="2"/>
      </rPr>
      <t xml:space="preserve"> bitte die Anzahl Lagertage (inklusive Anreise und Abreisetag) einsetzen.
Die </t>
    </r>
    <r>
      <rPr>
        <b/>
        <i/>
        <sz val="12"/>
        <color indexed="8"/>
        <rFont val="Arial"/>
        <family val="2"/>
      </rPr>
      <t>Tagespauschale</t>
    </r>
    <r>
      <rPr>
        <sz val="12"/>
        <color indexed="8"/>
        <rFont val="Arial"/>
        <family val="2"/>
      </rPr>
      <t xml:space="preserve"> beträgt für ein Camp mit Selbstverpflegung Fr. 12.-. 
Camps mit Vollpension erhalten nur einen Vorschuss in Höhe der Leiterentschädigungen (</t>
    </r>
    <r>
      <rPr>
        <b/>
        <i/>
        <sz val="12"/>
        <color indexed="8"/>
        <rFont val="Arial"/>
        <family val="2"/>
      </rPr>
      <t>Tagespauschale</t>
    </r>
    <r>
      <rPr>
        <sz val="12"/>
        <color indexed="8"/>
        <rFont val="Arial"/>
        <family val="2"/>
      </rPr>
      <t xml:space="preserve"> leer lassen).
Die Tagespauschale wird um Fr. 20.- erhöht, falls die Skibillette nicht auf Rechnung bezogen werden können. (Haus-, Car- und Skibillettrechnung sind sofort nach Erhalt schneezüri.ch zur Bezahlung zu übergeben!)
Unter </t>
    </r>
    <r>
      <rPr>
        <b/>
        <i/>
        <sz val="12"/>
        <color indexed="8"/>
        <rFont val="Arial"/>
        <family val="2"/>
      </rPr>
      <t>Teilnehmer</t>
    </r>
    <r>
      <rPr>
        <sz val="12"/>
        <color indexed="8"/>
        <rFont val="Arial"/>
        <family val="2"/>
      </rPr>
      <t xml:space="preserve"> bitte die Gesamtzahl aller Jugendlichen (inklusive Leiterkinder im Volksschulalter) einsetzen.
</t>
    </r>
    <r>
      <rPr>
        <sz val="12"/>
        <color indexed="8"/>
        <rFont val="Arial"/>
        <family val="2"/>
      </rPr>
      <t xml:space="preserve">
Allfällige J+S-Gelder werden erst nach dem Lager und nach erfolgter J+S-Abrechnung ausbezahlt.
Der errechnete Vorschuss wird auf die nächsten 100.- Franken aufgerundet und anfangs Februar vom Sportamt ausbezahlt.</t>
    </r>
  </si>
  <si>
    <t>schneezüri.ch E-Mail Adressen für</t>
  </si>
  <si>
    <t>E-Mail Adresse</t>
  </si>
  <si>
    <t>Bis spätestens</t>
  </si>
  <si>
    <t>J&amp;S Wochenprogramm:</t>
  </si>
  <si>
    <t>coach@schneezueri.ch</t>
  </si>
  <si>
    <t>2. Januar (bzw. 5 Wochen VOR Lagerbeginn)</t>
  </si>
  <si>
    <t>Vorschussantrag:</t>
  </si>
  <si>
    <t>15. März ( bzw 3 Wochen NACH Lagerabschluss)</t>
  </si>
  <si>
    <t>Unterkunft (2.3, 2.5)</t>
  </si>
  <si>
    <t>Tickets  (2.7)</t>
  </si>
  <si>
    <t>ausbezahlte J+S-Gelder (3.0)</t>
  </si>
  <si>
    <t>Transport (2.1, 2.2)</t>
  </si>
  <si>
    <t>Verpflegung  (2.6)</t>
  </si>
  <si>
    <t>Leiterentschädigung (2.09)</t>
  </si>
  <si>
    <t>Sonstiges (2.4, 2.8, 3.1, 3.2)</t>
  </si>
  <si>
    <t>Max. Betrag 50.- pro berecht.TeilnehmerIn, d.h. insgesamt     Fr.</t>
  </si>
  <si>
    <t xml:space="preserve">Datenstammblatt </t>
  </si>
  <si>
    <t xml:space="preserve">    Ich werde meine Unterkunft wechseln; mein Haus ist in der nächsten Saison      frei,     vergeben.</t>
  </si>
  <si>
    <t xml:space="preserve">    Die Campausschreibung kann für nächster Jahr übernommen werden,</t>
  </si>
  <si>
    <t xml:space="preserve">    Es gib Änderungen bitte Kontakt mit mir aufnehmen</t>
  </si>
  <si>
    <t xml:space="preserve">- </t>
  </si>
  <si>
    <t>Budgetierung Schulhauslager</t>
  </si>
  <si>
    <t xml:space="preserve">Dieses Formular soll helfen, die Kosten im Voraus abzuschätzen und die Mittel von schneezüri.ch
richtig einzusetzen. Das Formular ist als Dienstleistung gedacht und muss nicht eingereicht werden.  </t>
  </si>
  <si>
    <t>Lager Datum:</t>
  </si>
  <si>
    <t>tt.mm.jj</t>
  </si>
  <si>
    <t>Davon J&amp;S</t>
  </si>
  <si>
    <t>Anzahl Teilnehmer</t>
  </si>
  <si>
    <t>Hilfswerte für Berechnung</t>
  </si>
  <si>
    <t>Anz. Küche</t>
  </si>
  <si>
    <t xml:space="preserve"> bezahlte Leiter</t>
  </si>
  <si>
    <t>Verpflegung:</t>
  </si>
  <si>
    <t>S = Selbsverpfleg.
P = Pension</t>
  </si>
  <si>
    <r>
      <t>Kosten</t>
    </r>
    <r>
      <rPr>
        <b/>
        <sz val="12"/>
        <color indexed="17"/>
        <rFont val="Arial"/>
        <family val="2"/>
      </rPr>
      <t xml:space="preserve"> </t>
    </r>
    <r>
      <rPr>
        <sz val="12"/>
        <color indexed="10"/>
        <rFont val="Arial"/>
        <family val="2"/>
      </rPr>
      <t>(nur die gelben Felder bearbeiten)</t>
    </r>
  </si>
  <si>
    <t>(wird nicht gedruckt)</t>
  </si>
  <si>
    <t>pro Teilnehmer</t>
  </si>
  <si>
    <t>pro Leiter/in</t>
  </si>
  <si>
    <t>J+S Zuschlag</t>
  </si>
  <si>
    <t>pauschale Hauptl/Küche</t>
  </si>
  <si>
    <t>Kosten Teilnehmer</t>
  </si>
  <si>
    <t>Kosten
 Leiterteam</t>
  </si>
  <si>
    <t>Total Lager</t>
  </si>
  <si>
    <t>Leiterentschädigung</t>
  </si>
  <si>
    <t>Reisekosten</t>
  </si>
  <si>
    <t>(gem. SBB Gruppentarif)</t>
  </si>
  <si>
    <r>
      <t>Unterkunft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/ Tag</t>
    </r>
  </si>
  <si>
    <r>
      <t>(Richtwert 20.-- / max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. 30.--)</t>
    </r>
  </si>
  <si>
    <t>Verpflegung / Tag</t>
  </si>
  <si>
    <t>(Tagespauschale / Leiter</t>
  </si>
  <si>
    <t>Bergbahnen (Pass)</t>
  </si>
  <si>
    <r>
      <t>(für Leiterteam + 1x Küche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</si>
  <si>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Gepäcktransport</t>
  </si>
  <si>
    <t>übrige Ausgaben</t>
  </si>
  <si>
    <t>(Spiele, Pistenmiete, Preise,etc)</t>
  </si>
  <si>
    <r>
      <t>J &amp; S Gelder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(-)</t>
    </r>
  </si>
  <si>
    <t>(x J&amp;S Berechtigte Teilnehmer)</t>
  </si>
  <si>
    <r>
      <t>Sponsoring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(-)</t>
    </r>
  </si>
  <si>
    <r>
      <t>Lagerpreis</t>
    </r>
    <r>
      <rPr>
        <sz val="12"/>
        <color indexed="18"/>
        <rFont val="Arial"/>
        <family val="2"/>
      </rPr>
      <t xml:space="preserve"> (aufgerundet,  in der Ausschreibung publizieren!)</t>
    </r>
  </si>
  <si>
    <t>1) = Selbstverpfleger  /   bei Pension inkl. Verpflegung max 47.00 pro Person und Tag</t>
  </si>
  <si>
    <t>2) = Achtung! Vergünstigungen einrechnen, für Küche ev. einzelne Tage lösen</t>
  </si>
  <si>
    <t>3) = wird nur gerechnet wenn unter "Diverses" Kosten aufgeführt sind.</t>
  </si>
  <si>
    <t>4) = negativen Wert eingeben</t>
  </si>
  <si>
    <t>Abrechnungen inkl. Belege:</t>
  </si>
  <si>
    <t xml:space="preserve">wenn ja: Anzahl angemeldete J+S - Leiter (min. 2) </t>
  </si>
  <si>
    <t xml:space="preserve">Wird als J&amp;S-Kurs geführt (ja/nein) </t>
  </si>
  <si>
    <t>(Gesamtkosten)</t>
  </si>
  <si>
    <t>Name Lagerhaus*</t>
  </si>
  <si>
    <t>Name Lagerhaus</t>
  </si>
  <si>
    <t>Für Lager-/Campleitung:</t>
  </si>
  <si>
    <t xml:space="preserve">    Ich werde das Lager/Camp im nächsten Jahr wieder leiten.</t>
  </si>
  <si>
    <t>Lager-Beitrag / Schulhaus*</t>
  </si>
  <si>
    <t>Co-Leitung: (wenn vorhanden)</t>
  </si>
  <si>
    <t>LeiterInnen-Team* (bitte detailliert ausfüllen)</t>
  </si>
  <si>
    <t>TT.MM.JJ</t>
  </si>
  <si>
    <t>Campart auswählen</t>
  </si>
  <si>
    <t>- bug fixes</t>
  </si>
  <si>
    <t>Besondere Auslagen (zuerst durch J+S-Gelder abdecken)</t>
  </si>
  <si>
    <t>Besondere Auslagen</t>
  </si>
  <si>
    <t>J&amp;S</t>
  </si>
  <si>
    <t>Verpfl</t>
  </si>
  <si>
    <t>J&amp;S (j/n)</t>
  </si>
  <si>
    <t>Hilfsspalten  Schrift auf weiss, = nicht sichtbar</t>
  </si>
  <si>
    <t>Anzahl J&amp;S ohne Hauptleiter</t>
  </si>
  <si>
    <t xml:space="preserve">2.6 Verpflegung </t>
  </si>
  <si>
    <t>3.2 Campbeiträge Leiterkinder (Volksschulalter)</t>
  </si>
  <si>
    <t>Unterkunft (inkl. Kurtaxen) / Pension</t>
  </si>
  <si>
    <t>Verpflegung</t>
  </si>
  <si>
    <t>2.5 Unterkunft (bzw. Pension)</t>
  </si>
  <si>
    <t>Bei Pension 2/3 Ukft, 1/3 Verpfl.</t>
  </si>
  <si>
    <t xml:space="preserve"> J+S* (j / n)</t>
  </si>
  <si>
    <t>Effetive AnzahlLeiter anzeigen -&gt; vermerk auf Korr. Unter Korrekturposten</t>
  </si>
  <si>
    <t>2024 - 1.0</t>
  </si>
  <si>
    <t>AHV-Nr.*</t>
  </si>
  <si>
    <t>Anz. AHV-Nr.</t>
  </si>
  <si>
    <t>Sonstiges (2.4, 3.1, 3.2)</t>
  </si>
  <si>
    <t>Vorschuss</t>
  </si>
  <si>
    <t>Durch schneezüri zu zahlen</t>
  </si>
  <si>
    <t>/ Kostenanteil schneezüri</t>
  </si>
  <si>
    <t>Durch schneezüri bezahlte Beträge</t>
  </si>
  <si>
    <t>Ermässigungen (Kulturlegi-, Geschwisterrabatt)</t>
  </si>
  <si>
    <t>J&amp;S Gutschrift CHF 50.00 / Berechtigte Person</t>
  </si>
  <si>
    <t>Anzahl Leiter Ski Abos (1 Ticket für Küche wenn Kü &gt;2)</t>
  </si>
  <si>
    <t>Unterkunftskosten / Leiter und Tag</t>
  </si>
  <si>
    <t>Unterkunftskosten ( Bei Pension werden 2/3 der Summe von 2.5+2.6 berechnet)</t>
  </si>
  <si>
    <t>Leiteranteil Verpflegung (CHF 12.00 / Leiter und Tag)</t>
  </si>
  <si>
    <t>Anzahl Lagerteilnehmer (inkl. Leiter)</t>
  </si>
  <si>
    <r>
      <t xml:space="preserve">Kostenanteil schneezüri </t>
    </r>
    <r>
      <rPr>
        <sz val="10"/>
        <rFont val="Arial"/>
        <family val="2"/>
      </rPr>
      <t>(Maximalbetrag)</t>
    </r>
  </si>
  <si>
    <t>SH-Beitrag / Sponsoren / Sonstige Einnahmen</t>
  </si>
  <si>
    <t>Einnahmen Teilnehmerbeiträge</t>
  </si>
  <si>
    <t>Einnahmenübersicht</t>
  </si>
  <si>
    <t>Korrektur</t>
  </si>
  <si>
    <t xml:space="preserve"> /  Kürzung der Ausfalltage (-)</t>
  </si>
  <si>
    <t>Leiterentschädigungen</t>
  </si>
  <si>
    <t>Verpflegung / Pension</t>
  </si>
  <si>
    <t>Unterkunft (inkl. Kurtaxen)</t>
  </si>
  <si>
    <t>besondere Auslagen</t>
  </si>
  <si>
    <t>Extra-Fahrtkosten Leiter/innen für Lageranreise</t>
  </si>
  <si>
    <t>J+S (j / n)</t>
  </si>
  <si>
    <t>E-Mail-Adresse:(fakultativ)</t>
  </si>
  <si>
    <t>zus.bewilligte Leiter/innen</t>
  </si>
  <si>
    <t>Lagerbeitag / Teilnehmer</t>
  </si>
  <si>
    <t>wenn ja: Anzahl angemeldete J+S - Leiter (min. 2)</t>
  </si>
  <si>
    <t>J&amp;S-Lager (ja / nein)</t>
  </si>
  <si>
    <t>Schulhaus:</t>
  </si>
  <si>
    <t>n</t>
  </si>
  <si>
    <t>j</t>
  </si>
  <si>
    <t>Lager Ort:</t>
  </si>
  <si>
    <t xml:space="preserve">SH-Lager o. DL </t>
  </si>
  <si>
    <t>Lagerbetrag</t>
  </si>
  <si>
    <t>in CHF</t>
  </si>
  <si>
    <t>Rabatt</t>
  </si>
  <si>
    <t>G / L*</t>
  </si>
  <si>
    <t>Name, Vorname* Teilnehmer</t>
  </si>
  <si>
    <t>Anzahl Ermässigungen (Kulturlegi)</t>
  </si>
  <si>
    <t>Lagerbeitrag</t>
  </si>
  <si>
    <t>Total Ermässigung/Rabatt</t>
  </si>
  <si>
    <t>Anzahl Geschwisterrabatte</t>
  </si>
  <si>
    <t>Die Kulturlegi muss minidestesn bis 1 Woche vor Lagerbeginn gültig sein!</t>
  </si>
  <si>
    <t>Auflistung der beantragten Ermässigungen gem.beiliegenden Kulturlegikopien, sowie Geschwisterrabatte</t>
  </si>
  <si>
    <r>
      <t xml:space="preserve">Ermässigungen </t>
    </r>
    <r>
      <rPr>
        <sz val="12"/>
        <rFont val="Arial"/>
        <family val="2"/>
      </rPr>
      <t>(Position 4.0)</t>
    </r>
  </si>
  <si>
    <t>Hilfspalten (sind weiss eingefährt)</t>
  </si>
  <si>
    <t>AnnMet</t>
  </si>
  <si>
    <t>HanBac</t>
  </si>
  <si>
    <t>KZ</t>
  </si>
  <si>
    <t>Vorname Name Kombi</t>
  </si>
  <si>
    <t>Nachname</t>
  </si>
  <si>
    <t>AHV Nummer</t>
  </si>
  <si>
    <t>JS Nummer</t>
  </si>
  <si>
    <t>Camp_Lager</t>
  </si>
  <si>
    <t>Sportgerät</t>
  </si>
  <si>
    <t>Mobil</t>
  </si>
  <si>
    <t>Adresse Privat komplett</t>
  </si>
  <si>
    <t>E_Mail Privat</t>
  </si>
  <si>
    <t>E_Mail Büro</t>
  </si>
  <si>
    <t>Bankkonto IBAN</t>
  </si>
  <si>
    <t>Briefanrede</t>
  </si>
  <si>
    <t>Foto ja_nein</t>
  </si>
  <si>
    <t>AdaHal</t>
  </si>
  <si>
    <t>Adam Halilovic</t>
  </si>
  <si>
    <t>Adam</t>
  </si>
  <si>
    <t>Halilovic</t>
  </si>
  <si>
    <t>Leiter_in</t>
  </si>
  <si>
    <t>73 Hoch-Ybrig MS</t>
  </si>
  <si>
    <t>Snowboard</t>
  </si>
  <si>
    <t>079 105 09 90</t>
  </si>
  <si>
    <t>Aargauerstrasse 60, 8048 Zürich</t>
  </si>
  <si>
    <t>adm.hllvc@gmail.com</t>
  </si>
  <si>
    <t>CH0500781620961082000</t>
  </si>
  <si>
    <t>Lieber Adam</t>
  </si>
  <si>
    <t>keine Foto gespeichert</t>
  </si>
  <si>
    <t>AdiGoo</t>
  </si>
  <si>
    <t>Adi Good</t>
  </si>
  <si>
    <t>Adi</t>
  </si>
  <si>
    <t>Good</t>
  </si>
  <si>
    <t>Interesse Leitertätigkeit</t>
  </si>
  <si>
    <t>Hofacker</t>
  </si>
  <si>
    <t>079 576 35 86</t>
  </si>
  <si>
    <t>Brauerstrasse 48, 8004 Zürich</t>
  </si>
  <si>
    <t>adi.good@me.com</t>
  </si>
  <si>
    <t>CH75 0900 0000 8764 3977 4</t>
  </si>
  <si>
    <t>Lieber Adi</t>
  </si>
  <si>
    <t>eine Foto ist hinterlegt</t>
  </si>
  <si>
    <t>AdrKön</t>
  </si>
  <si>
    <t>Adrian König</t>
  </si>
  <si>
    <t>Adrian</t>
  </si>
  <si>
    <t>König</t>
  </si>
  <si>
    <t>Interesse Leiter_in</t>
  </si>
  <si>
    <t>079 822 88 49</t>
  </si>
  <si>
    <t>adri.koenig@bluewin.ch</t>
  </si>
  <si>
    <t>Lieber Adrian</t>
  </si>
  <si>
    <t>AlbHil</t>
  </si>
  <si>
    <t>Alberto Hilvert</t>
  </si>
  <si>
    <t>Alberto</t>
  </si>
  <si>
    <t>Hilvert</t>
  </si>
  <si>
    <t>71 Hoch-Ybrig OS</t>
  </si>
  <si>
    <t>kein Sportgerät</t>
  </si>
  <si>
    <t>079 776 83 43</t>
  </si>
  <si>
    <t>Stampfenbachstrasse 107, 8006 Zurich</t>
  </si>
  <si>
    <t>alberto.hilvert@hotmail.com</t>
  </si>
  <si>
    <t>CH95 0070 0110 0063 3203 1</t>
  </si>
  <si>
    <t>Lieber Alberto</t>
  </si>
  <si>
    <t>AleGhe</t>
  </si>
  <si>
    <t>Alea Gheza</t>
  </si>
  <si>
    <t>Alea</t>
  </si>
  <si>
    <t>Gheza</t>
  </si>
  <si>
    <t>079 886 12 20</t>
  </si>
  <si>
    <t>Hohlandstrasse 3, 8404 Winterthur</t>
  </si>
  <si>
    <t>aleagheza@gmail.com</t>
  </si>
  <si>
    <t>CH40 0070 0110 0056 1881 0</t>
  </si>
  <si>
    <t>Liebe Alea</t>
  </si>
  <si>
    <t>AleGub</t>
  </si>
  <si>
    <t>Alexa Gubler</t>
  </si>
  <si>
    <t>Alexa</t>
  </si>
  <si>
    <t>Gubler</t>
  </si>
  <si>
    <t>72 Bettmeralp</t>
  </si>
  <si>
    <t>079 383 80 35</t>
  </si>
  <si>
    <t>Unterdorfstrasse 11, 8117 Fällanden</t>
  </si>
  <si>
    <t>alexagubler@bluewin.ch</t>
  </si>
  <si>
    <t>CH20 0840 1016 1246 4130 9</t>
  </si>
  <si>
    <t>Liebe Alexa</t>
  </si>
  <si>
    <t>AleOch</t>
  </si>
  <si>
    <t>Alessandra Ochsner</t>
  </si>
  <si>
    <t>Alessandra</t>
  </si>
  <si>
    <t>Ochsner</t>
  </si>
  <si>
    <t>756.4139.1319.27</t>
  </si>
  <si>
    <t>Hauptleiter_in</t>
  </si>
  <si>
    <t>Hirschengraben</t>
  </si>
  <si>
    <t>beides</t>
  </si>
  <si>
    <t>077 427 33 75</t>
  </si>
  <si>
    <t>Hohlstrasse 207, 8004 Zürich</t>
  </si>
  <si>
    <t>alessandraochsner@bluewin.ch</t>
  </si>
  <si>
    <t>alessandra.ochsner@schulen.zuerich.ch</t>
  </si>
  <si>
    <t>CH45 0070 0110 0031 3920 6</t>
  </si>
  <si>
    <t>Liebe Alessandra</t>
  </si>
  <si>
    <t>AleVig</t>
  </si>
  <si>
    <t>Alex Vigniti</t>
  </si>
  <si>
    <t>Alex</t>
  </si>
  <si>
    <t>Vigniti</t>
  </si>
  <si>
    <t>Hirslanden</t>
  </si>
  <si>
    <t>Ski</t>
  </si>
  <si>
    <t>079 155 86 22</t>
  </si>
  <si>
    <t>Weineggstrasse 59, 8008 Zürich</t>
  </si>
  <si>
    <t>vignitialex@gmail.com</t>
  </si>
  <si>
    <t>CH37 0070 0350 0502 4360 5</t>
  </si>
  <si>
    <t>Lieber Alex</t>
  </si>
  <si>
    <t>AliKel</t>
  </si>
  <si>
    <t>Alina Keller</t>
  </si>
  <si>
    <t>Alina</t>
  </si>
  <si>
    <t>Keller</t>
  </si>
  <si>
    <t>521 Grindelwald, 78 Mürren, 81 Celerina, 171/181 Zermatt</t>
  </si>
  <si>
    <t>079 928 04 22</t>
  </si>
  <si>
    <t>Ankackerstrasse 10, 8459 Volken</t>
  </si>
  <si>
    <t>keller.alina@gmx.ch</t>
  </si>
  <si>
    <t>CH05 0070 0110 0066 7421 8</t>
  </si>
  <si>
    <t>Liebe Alina</t>
  </si>
  <si>
    <t>AliSta</t>
  </si>
  <si>
    <t>Aliyah Stalder</t>
  </si>
  <si>
    <t>Aliyah</t>
  </si>
  <si>
    <t>Stalder</t>
  </si>
  <si>
    <t>076 757 45 23</t>
  </si>
  <si>
    <t>Hauptstrasse 132, 4422 Arisdorf</t>
  </si>
  <si>
    <t>stalder.aliyah@gmail.com</t>
  </si>
  <si>
    <t>CH66 8080 8009 4857 2727 4</t>
  </si>
  <si>
    <t>Liebe Aliyah</t>
  </si>
  <si>
    <t>AndBür</t>
  </si>
  <si>
    <t>Andrea Bürki</t>
  </si>
  <si>
    <t>Andrea</t>
  </si>
  <si>
    <t>Bürki</t>
  </si>
  <si>
    <t>079 675 95 18</t>
  </si>
  <si>
    <t>Taa 26, 9442 Berneck</t>
  </si>
  <si>
    <t>andibuerki@hotmail.com</t>
  </si>
  <si>
    <t>CH3080808007452415959</t>
  </si>
  <si>
    <t>Liebe Andrea</t>
  </si>
  <si>
    <t>AndEhr</t>
  </si>
  <si>
    <t>Andrin Ehrler</t>
  </si>
  <si>
    <t>Andrin</t>
  </si>
  <si>
    <t>Ehrler</t>
  </si>
  <si>
    <t>078 806 88 65</t>
  </si>
  <si>
    <t>Talgüetliweg 1, 8303 Bassersdorf</t>
  </si>
  <si>
    <t>andrin.ehrler@bluemail.ch</t>
  </si>
  <si>
    <t>CH04 0900 0000 3194 0002 5</t>
  </si>
  <si>
    <t>Lieber Andrin</t>
  </si>
  <si>
    <t>AndGil</t>
  </si>
  <si>
    <t>Andreas Gilgen</t>
  </si>
  <si>
    <t>Andreas</t>
  </si>
  <si>
    <t>Gilgen</t>
  </si>
  <si>
    <t>079 158 78 83</t>
  </si>
  <si>
    <t>St. Ursenweg 5, 4562 Biberist</t>
  </si>
  <si>
    <t>gilgenandreas@gmail.com</t>
  </si>
  <si>
    <t>CH8208785044710987175</t>
  </si>
  <si>
    <t>Lieber Andreas</t>
  </si>
  <si>
    <t>AndKel</t>
  </si>
  <si>
    <t>Andy Giselle Keller</t>
  </si>
  <si>
    <t>Andy Giselle</t>
  </si>
  <si>
    <t>079 964 66 87</t>
  </si>
  <si>
    <t>Bülachstrasse 1c, 8057 Zürich</t>
  </si>
  <si>
    <t>kelaendi@gmail.com</t>
  </si>
  <si>
    <t>CH26 0483 5149 3448 2000 0</t>
  </si>
  <si>
    <t>Liebe Andy Giselle</t>
  </si>
  <si>
    <t>AndRyf</t>
  </si>
  <si>
    <t>Andri Ryffel</t>
  </si>
  <si>
    <t>Andri</t>
  </si>
  <si>
    <t>Ryffel</t>
  </si>
  <si>
    <t>079 247 27 13</t>
  </si>
  <si>
    <t>Martastrasse 6, 8953 Dietikon</t>
  </si>
  <si>
    <t>andriryffel@hotmail.com</t>
  </si>
  <si>
    <t>4397430189118831</t>
  </si>
  <si>
    <t>Lieber Andri</t>
  </si>
  <si>
    <t>AndSch</t>
  </si>
  <si>
    <t>Andrea Melissa Schüpbach</t>
  </si>
  <si>
    <t>Andrea Melissa</t>
  </si>
  <si>
    <t>Schüpbach</t>
  </si>
  <si>
    <t>076 413 66 02</t>
  </si>
  <si>
    <t>Könizstrasse 194D, 3097 Liebefeld</t>
  </si>
  <si>
    <t>andrea.schu@hotmail.com</t>
  </si>
  <si>
    <t>CH70 0023 5235 1473 6640 Q</t>
  </si>
  <si>
    <t>Liebe Andrea Melissa</t>
  </si>
  <si>
    <t>AngFer</t>
  </si>
  <si>
    <t>Angela Ferro</t>
  </si>
  <si>
    <t>Angela</t>
  </si>
  <si>
    <t>Ferro</t>
  </si>
  <si>
    <t>Aergetenstrasse 41, 8545 Rickenbach ZH</t>
  </si>
  <si>
    <t>angela@ferro.me</t>
  </si>
  <si>
    <t>CH03 0070 0110 0046 9332 0</t>
  </si>
  <si>
    <t>Liebe Angela</t>
  </si>
  <si>
    <t>AnjKne</t>
  </si>
  <si>
    <t>Anja-Céline Knecht</t>
  </si>
  <si>
    <t>Anja-Céline</t>
  </si>
  <si>
    <t>Knecht</t>
  </si>
  <si>
    <t>Bühl</t>
  </si>
  <si>
    <t>079 382 88 00</t>
  </si>
  <si>
    <t>Badenerstrasse 155, 8004 Zürich</t>
  </si>
  <si>
    <t>anja.knecht@schulen.zuerich.ch</t>
  </si>
  <si>
    <t>CH51 0070 0350 0478 1010 8</t>
  </si>
  <si>
    <t>Liebe Anja-Céline</t>
  </si>
  <si>
    <t>AnjSch</t>
  </si>
  <si>
    <t>Anja Schäfers</t>
  </si>
  <si>
    <t>Anja</t>
  </si>
  <si>
    <t>Schäfers</t>
  </si>
  <si>
    <t>76/82 Valbella OS</t>
  </si>
  <si>
    <t>078 924 24 52</t>
  </si>
  <si>
    <t>Alte Winterthurerstrasse 28, 8304 Wallisellen</t>
  </si>
  <si>
    <t>anja.schaefers@hotmail.com</t>
  </si>
  <si>
    <t>CH1909000000873160339</t>
  </si>
  <si>
    <t>Liebe Anja</t>
  </si>
  <si>
    <t>AnjVae</t>
  </si>
  <si>
    <t>Anja Vaes</t>
  </si>
  <si>
    <t>Vaes</t>
  </si>
  <si>
    <t>079 307 05 83</t>
  </si>
  <si>
    <t>Grenzacherstrasse 7, 4058 Basel</t>
  </si>
  <si>
    <t>anja.nicole@hotmail.com</t>
  </si>
  <si>
    <t>CH93 0077 8010 6511 9610 3</t>
  </si>
  <si>
    <t>AnnCap</t>
  </si>
  <si>
    <t>Anna-Lou Caprez</t>
  </si>
  <si>
    <t>Anna-Lou</t>
  </si>
  <si>
    <t>Caprez</t>
  </si>
  <si>
    <t>079 176 96 62</t>
  </si>
  <si>
    <t>Mittelstrasse 24, 8008 zürich</t>
  </si>
  <si>
    <t>annalou.caprez@gmail.com</t>
  </si>
  <si>
    <t>CH25 0070 0110 0071 9154 7</t>
  </si>
  <si>
    <t>Liebe Anna-Lou</t>
  </si>
  <si>
    <t>AnnKün</t>
  </si>
  <si>
    <t>Annina Künnecke</t>
  </si>
  <si>
    <t>Annina</t>
  </si>
  <si>
    <t>Künnecke</t>
  </si>
  <si>
    <t>076 441 71 49</t>
  </si>
  <si>
    <t>Spitzackerstrasse 19, 4410 Liestal</t>
  </si>
  <si>
    <t>a.kuennecke@bluewin.ch</t>
  </si>
  <si>
    <t>Liebe Annina</t>
  </si>
  <si>
    <t>Annika Metz</t>
  </si>
  <si>
    <t>Annika</t>
  </si>
  <si>
    <t>Metz</t>
  </si>
  <si>
    <t>756.9344.9341.27</t>
  </si>
  <si>
    <t>Kügeliloo</t>
  </si>
  <si>
    <t>076 540 53 46</t>
  </si>
  <si>
    <t>Riedenhaldenstrasse 39, 8046 Zürich</t>
  </si>
  <si>
    <t>annika.metz@schulen.zuerich.ch</t>
  </si>
  <si>
    <t>CH1400777004314610010</t>
  </si>
  <si>
    <t>Liebe Annika</t>
  </si>
  <si>
    <t>AnnRis</t>
  </si>
  <si>
    <t>Anna Risse</t>
  </si>
  <si>
    <t>Anna</t>
  </si>
  <si>
    <t>Risse</t>
  </si>
  <si>
    <t>Balgrist/Kartaus/Münchhalde</t>
  </si>
  <si>
    <t>076 445 47 92</t>
  </si>
  <si>
    <t>Rautihalde 33, 8048 Zürich</t>
  </si>
  <si>
    <t>anna.risse@schulen.zuerich.ch</t>
  </si>
  <si>
    <t>CH390025425461436941R</t>
  </si>
  <si>
    <t>Liebe Anna</t>
  </si>
  <si>
    <t>AnnRub</t>
  </si>
  <si>
    <t>Annika Rubitschung</t>
  </si>
  <si>
    <t>Rubitschung</t>
  </si>
  <si>
    <t>Limmat, Feld, Aussersihl</t>
  </si>
  <si>
    <t>079 132 48 90</t>
  </si>
  <si>
    <t>Winteriweg 11, 4717 Mümliswil</t>
  </si>
  <si>
    <t>annika.rubitschung@gmail.com</t>
  </si>
  <si>
    <t>CHCH48 0900 0000 3101 7928 6</t>
  </si>
  <si>
    <t>AssMar</t>
  </si>
  <si>
    <t>Assunta Marino</t>
  </si>
  <si>
    <t>Assunta</t>
  </si>
  <si>
    <t>Marino</t>
  </si>
  <si>
    <t>74 Scuol</t>
  </si>
  <si>
    <t>076 328 11 70</t>
  </si>
  <si>
    <t>Überlandstrasse 50, 8051 Zürich</t>
  </si>
  <si>
    <t>assunta.marino@bluewin.ch</t>
  </si>
  <si>
    <t>CH49 04835055 5717 4000 2</t>
  </si>
  <si>
    <t>Liebe Assunta</t>
  </si>
  <si>
    <t>BabAde</t>
  </si>
  <si>
    <t>Babatunde Adebiyi</t>
  </si>
  <si>
    <t>Babatunde</t>
  </si>
  <si>
    <t>Adebiyi</t>
  </si>
  <si>
    <t>078 847 00 80</t>
  </si>
  <si>
    <t>Katzenbachstrasse 180, 8052 Zürich</t>
  </si>
  <si>
    <t>tadebiyi24@gmail.com</t>
  </si>
  <si>
    <t>CH18 0070 0110 0058 2116 0</t>
  </si>
  <si>
    <t>Lieber Babatunde</t>
  </si>
  <si>
    <t>BarMar</t>
  </si>
  <si>
    <t>Barbara Marino</t>
  </si>
  <si>
    <t>Barbara</t>
  </si>
  <si>
    <t>Sonstiges</t>
  </si>
  <si>
    <t>076 382 50 01</t>
  </si>
  <si>
    <t>barbaramarino72@hotmail.com</t>
  </si>
  <si>
    <t>CH45 0483 5055 5590 2000 0</t>
  </si>
  <si>
    <t>Liebe Barbara</t>
  </si>
  <si>
    <t>BarSal</t>
  </si>
  <si>
    <t>Barbara Sala</t>
  </si>
  <si>
    <t>Sala</t>
  </si>
  <si>
    <t>Küche</t>
  </si>
  <si>
    <t>076 607 04 22</t>
  </si>
  <si>
    <t>Bommersteinstrasse 13, 8885 Mols</t>
  </si>
  <si>
    <t>santatrampa1@gmail.com</t>
  </si>
  <si>
    <t>Ch23 0070 0110 0074 2050 3</t>
  </si>
  <si>
    <t>BarSax</t>
  </si>
  <si>
    <t>Barbara Saxer-Gerber</t>
  </si>
  <si>
    <t>Saxer-Gerber</t>
  </si>
  <si>
    <t>Dachslern-Feldblumen</t>
  </si>
  <si>
    <t>079 718 44 39</t>
  </si>
  <si>
    <t>Im Stückler 11, 8048 Zürich</t>
  </si>
  <si>
    <t>Barbara.Saxer@schulen.zuerich.ch</t>
  </si>
  <si>
    <t>CH66 0024 5245 3434 3648 0</t>
  </si>
  <si>
    <t>BasKus</t>
  </si>
  <si>
    <t>Basil Kuster</t>
  </si>
  <si>
    <t>Basil</t>
  </si>
  <si>
    <t>Kuster</t>
  </si>
  <si>
    <t>079 326 63 32</t>
  </si>
  <si>
    <t>Winterthurerstrasse 529, 8051 Zürich</t>
  </si>
  <si>
    <t>basil.kuster@outlook.com</t>
  </si>
  <si>
    <t>CH10 0900 0000 8741 2322 6</t>
  </si>
  <si>
    <t>Lieber Basil</t>
  </si>
  <si>
    <t>BenKau</t>
  </si>
  <si>
    <t>Benjamin Kaufmann</t>
  </si>
  <si>
    <t>Benjamin</t>
  </si>
  <si>
    <t>Kaufmann</t>
  </si>
  <si>
    <t>079 663 22 18</t>
  </si>
  <si>
    <t>Kapellgasse 1, 6004 Luzern</t>
  </si>
  <si>
    <t>mcbenero@hotmail.com</t>
  </si>
  <si>
    <t>CH810630 0016 1112 9630 8</t>
  </si>
  <si>
    <t>Lieber Benjamin</t>
  </si>
  <si>
    <t>BerJun</t>
  </si>
  <si>
    <t>Berenike Junghardt</t>
  </si>
  <si>
    <t>Berenike</t>
  </si>
  <si>
    <t>Junghardt</t>
  </si>
  <si>
    <t>079 884 43 29</t>
  </si>
  <si>
    <t>Dorfstrasse 5, 5430 Wettingen</t>
  </si>
  <si>
    <t>berenikejunghardt@bluewin.ch</t>
  </si>
  <si>
    <t>CH3 0023 2232 1154 3340 M</t>
  </si>
  <si>
    <t>Liebe Berenike</t>
  </si>
  <si>
    <t>BetLei</t>
  </si>
  <si>
    <t>Bettina Leimgruber</t>
  </si>
  <si>
    <t>Bettina</t>
  </si>
  <si>
    <t>Leimgruber</t>
  </si>
  <si>
    <t>079 811 23 68</t>
  </si>
  <si>
    <t>Im Uerschli 16, 8494 Bauma</t>
  </si>
  <si>
    <t>leimgruber.bettina@bluewin.ch</t>
  </si>
  <si>
    <t>CH21 0070 0110 0022 4995 4</t>
  </si>
  <si>
    <t>Liebe Bettina</t>
  </si>
  <si>
    <t>BogTop</t>
  </si>
  <si>
    <t>Bogdan Topalovic</t>
  </si>
  <si>
    <t>Bogdan</t>
  </si>
  <si>
    <t>Topalovic</t>
  </si>
  <si>
    <t>078 919 67 93</t>
  </si>
  <si>
    <t>Riedgrabenweg 60, 8050 Zürich</t>
  </si>
  <si>
    <t>bogdan.topalovic@gmx.ch</t>
  </si>
  <si>
    <t>CH49 0070 0110 0065 4102 1</t>
  </si>
  <si>
    <t>Lieber Bogdan</t>
  </si>
  <si>
    <t>BriSul</t>
  </si>
  <si>
    <t>Brigitte Sulser</t>
  </si>
  <si>
    <t>Brigitte</t>
  </si>
  <si>
    <t>Sulser</t>
  </si>
  <si>
    <t>756.0319.2199.59</t>
  </si>
  <si>
    <t>078 797 21 09</t>
  </si>
  <si>
    <t>Englischviertelstrasse 20, 8032 Zürich</t>
  </si>
  <si>
    <t>brigitte.sulser@schulen.zuerich.ch</t>
  </si>
  <si>
    <t>CH51 0900 0000 8020 0269 7</t>
  </si>
  <si>
    <t>Liebe Brigitte</t>
  </si>
  <si>
    <t xml:space="preserve">CarDe </t>
  </si>
  <si>
    <t>Caroline De Iaco</t>
  </si>
  <si>
    <t>Caroline</t>
  </si>
  <si>
    <t>De Iaco</t>
  </si>
  <si>
    <t>076 702 07 97</t>
  </si>
  <si>
    <t>Margrit Rainer-Strasse 12, 8050 Zürich</t>
  </si>
  <si>
    <t>caroline.deiaco@bluewin.ch</t>
  </si>
  <si>
    <t>CH07 0483 5112 3464 9000 0</t>
  </si>
  <si>
    <t>Liebe Caroline</t>
  </si>
  <si>
    <t>CarLee</t>
  </si>
  <si>
    <t>Carmen Leemann</t>
  </si>
  <si>
    <t>Carmen</t>
  </si>
  <si>
    <t>Leemann</t>
  </si>
  <si>
    <t>076 525 89 62</t>
  </si>
  <si>
    <t>Bergstrasse 13, 8902 Urdorf</t>
  </si>
  <si>
    <t>carmenleemann@hotmail.com</t>
  </si>
  <si>
    <t>CH22 0070 0110 0014 1631 8</t>
  </si>
  <si>
    <t>Liebe Carmen</t>
  </si>
  <si>
    <t>CarWro</t>
  </si>
  <si>
    <t>Caroline Wronka</t>
  </si>
  <si>
    <t>Wronka</t>
  </si>
  <si>
    <t>078 838 99 08</t>
  </si>
  <si>
    <t>Nettie-Sutrostr.1, 8046 Zürich</t>
  </si>
  <si>
    <t>caro.wronka@gmx.ch</t>
  </si>
  <si>
    <t>CH280023023055333540D</t>
  </si>
  <si>
    <t>CélHam</t>
  </si>
  <si>
    <t>Céline Hammadou</t>
  </si>
  <si>
    <t>Céline</t>
  </si>
  <si>
    <t>Hammadou</t>
  </si>
  <si>
    <t>077 474 75 29</t>
  </si>
  <si>
    <t>Rosenbergstrasse 5, 8353 Elgg</t>
  </si>
  <si>
    <t>clim.ceha@gmail.com</t>
  </si>
  <si>
    <t>CH3709000000899440613</t>
  </si>
  <si>
    <t>Liebe Céline</t>
  </si>
  <si>
    <t>ChaHäh</t>
  </si>
  <si>
    <t>Charly Hähni</t>
  </si>
  <si>
    <t>Charly</t>
  </si>
  <si>
    <t>Hähni</t>
  </si>
  <si>
    <t>Koch</t>
  </si>
  <si>
    <t>75 Valbella MS</t>
  </si>
  <si>
    <t>079 648 55 33</t>
  </si>
  <si>
    <t>Blumenstrasse 5, 8192 Glattfelden</t>
  </si>
  <si>
    <t>chaehni@bluewin.ch</t>
  </si>
  <si>
    <t>CH0400700110801270785</t>
  </si>
  <si>
    <t>Lieber Charly</t>
  </si>
  <si>
    <t>ChiCaf</t>
  </si>
  <si>
    <t>Chiara Caflisch</t>
  </si>
  <si>
    <t>Chiara</t>
  </si>
  <si>
    <t>Caflisch</t>
  </si>
  <si>
    <t>77/84 Parpan-Lenzerheide</t>
  </si>
  <si>
    <t>079 676 68 83</t>
  </si>
  <si>
    <t>Schürbungert 47, 8057 Zurich</t>
  </si>
  <si>
    <t>chiara.caflisch@gmail.com</t>
  </si>
  <si>
    <t>CH68 0900 0000 3196 3545 6</t>
  </si>
  <si>
    <t>Liebe Chiara</t>
  </si>
  <si>
    <t>ChiLic</t>
  </si>
  <si>
    <t>Chiara Lichtsteiner</t>
  </si>
  <si>
    <t>Lichtsteiner</t>
  </si>
  <si>
    <t>079 563 72 89</t>
  </si>
  <si>
    <t>Hardstrasse 27, 8004 Zürich</t>
  </si>
  <si>
    <t>chiara.lichtsteiner@hotmail.com</t>
  </si>
  <si>
    <t>CH71 8145 6000 0053 4468 8</t>
  </si>
  <si>
    <t>ChiReg</t>
  </si>
  <si>
    <t>Chiara Regazzoni</t>
  </si>
  <si>
    <t>Regazzoni</t>
  </si>
  <si>
    <t>079 904 49 30</t>
  </si>
  <si>
    <t>Meiliweg 22, 8055 Zürich</t>
  </si>
  <si>
    <t>chiara@regazzoni.ch</t>
  </si>
  <si>
    <t>CH44 0900 0000 8711 9583 3</t>
  </si>
  <si>
    <t>ChrKob</t>
  </si>
  <si>
    <t>Christian Kobi</t>
  </si>
  <si>
    <t>Christian</t>
  </si>
  <si>
    <t>Kobi</t>
  </si>
  <si>
    <t>Präsident_in</t>
  </si>
  <si>
    <t>078 776 81 51</t>
  </si>
  <si>
    <t>kobi@elevenmusic.ch</t>
  </si>
  <si>
    <t>christian.kobi@schneezueri.ch</t>
  </si>
  <si>
    <t>CH79 8147 1000 0023 2399 0</t>
  </si>
  <si>
    <t>Lieber Christian</t>
  </si>
  <si>
    <t>ChrPfe</t>
  </si>
  <si>
    <t>Christoph Pfenninger</t>
  </si>
  <si>
    <t>Christoph</t>
  </si>
  <si>
    <t>Pfenninger</t>
  </si>
  <si>
    <t>Lagerkoch</t>
  </si>
  <si>
    <t>079 576 32 34</t>
  </si>
  <si>
    <t>Hochstrasse 3, 8200 Schaffhausen</t>
  </si>
  <si>
    <t>christoph.pfenninger@zuerich.ch</t>
  </si>
  <si>
    <t>CH2400700112100232054</t>
  </si>
  <si>
    <t>Lieber Christoph</t>
  </si>
  <si>
    <t>ChrTsc</t>
  </si>
  <si>
    <t>Christian Tschudi</t>
  </si>
  <si>
    <t>Tschudi</t>
  </si>
  <si>
    <t>076 570 79 27</t>
  </si>
  <si>
    <t>Bahnstrasse 25, 8603 Schwerzenbach</t>
  </si>
  <si>
    <t>christiantschudi@hotmail.com</t>
  </si>
  <si>
    <t>CH13 0070 0112 7001 1012 8</t>
  </si>
  <si>
    <t>CinSch</t>
  </si>
  <si>
    <t>Cinzia Schiavi</t>
  </si>
  <si>
    <t>Cinzia</t>
  </si>
  <si>
    <t>Schiavi</t>
  </si>
  <si>
    <t>079 610 11 75</t>
  </si>
  <si>
    <t>Im Trübacker 9, 8600 Dübendorf</t>
  </si>
  <si>
    <t>cischiavi@gmail.com</t>
  </si>
  <si>
    <t>CH41 0688 8016 0226 2640 9</t>
  </si>
  <si>
    <t>Liebe Cinzia</t>
  </si>
  <si>
    <t>ClaEsp</t>
  </si>
  <si>
    <t>Claudia Esposito</t>
  </si>
  <si>
    <t>Claudia</t>
  </si>
  <si>
    <t>Esposito</t>
  </si>
  <si>
    <t>Hardau</t>
  </si>
  <si>
    <t>Rousseaustrasse 72, 8037 Zürich</t>
  </si>
  <si>
    <t>claudia.esposito@schulen.zuerich.ch</t>
  </si>
  <si>
    <t>CH4509000000895232609</t>
  </si>
  <si>
    <t>Liebe Claudia</t>
  </si>
  <si>
    <t>ClaMei</t>
  </si>
  <si>
    <t>Claudia Meisser</t>
  </si>
  <si>
    <t>Meisser</t>
  </si>
  <si>
    <t>079 762 19 91</t>
  </si>
  <si>
    <t>Meierwiesenstrasse 70, 8064 Zürich</t>
  </si>
  <si>
    <t>claudia.meisser@hotmail.de</t>
  </si>
  <si>
    <t>CH58 0900 0000 9017 5126 0</t>
  </si>
  <si>
    <t>ClaSov</t>
  </si>
  <si>
    <t>Claudio Sovrano</t>
  </si>
  <si>
    <t>Claudio</t>
  </si>
  <si>
    <t>Sovrano</t>
  </si>
  <si>
    <t>079 678 21 18</t>
  </si>
  <si>
    <t>Hauptstrasse 18, 8865 Bilten</t>
  </si>
  <si>
    <t>c.sovrano@hotmail.com</t>
  </si>
  <si>
    <t>1600773805535566400</t>
  </si>
  <si>
    <t>Lieber Claudio</t>
  </si>
  <si>
    <t>CorBor</t>
  </si>
  <si>
    <t>Corina Borner</t>
  </si>
  <si>
    <t>Corina</t>
  </si>
  <si>
    <t>Borner</t>
  </si>
  <si>
    <t>Köchin</t>
  </si>
  <si>
    <t>076 527 09 42</t>
  </si>
  <si>
    <t>Birmensdorferstrasse 467, 8055 Zürich</t>
  </si>
  <si>
    <t>corina.borner@schulen.zuerich.ch</t>
  </si>
  <si>
    <t>CH48 0070 0110 9002 3259 4</t>
  </si>
  <si>
    <t>Liebe Corina</t>
  </si>
  <si>
    <t>CorSki</t>
  </si>
  <si>
    <t>Corina Skirgaila</t>
  </si>
  <si>
    <t>Skirgaila</t>
  </si>
  <si>
    <t>078 936 77 87</t>
  </si>
  <si>
    <t>Thurwiesenstrasse 9, 8037 Zürich</t>
  </si>
  <si>
    <t>corina.skirgaila@hotmail.com</t>
  </si>
  <si>
    <t>CH31 0020 2202 6416 6940 B</t>
  </si>
  <si>
    <t>CorWeh</t>
  </si>
  <si>
    <t>Corina Wehinger</t>
  </si>
  <si>
    <t>Wehinger</t>
  </si>
  <si>
    <t>079 849 23 65</t>
  </si>
  <si>
    <t>Poststrasse 13, 8134 8134 Adliswil</t>
  </si>
  <si>
    <t>corinawehinger@gmx.ch</t>
  </si>
  <si>
    <t>CH220023523547638040A</t>
  </si>
  <si>
    <t>CyrAnz</t>
  </si>
  <si>
    <t>Cyril Anzelini</t>
  </si>
  <si>
    <t>Cyril</t>
  </si>
  <si>
    <t>Anzelini</t>
  </si>
  <si>
    <t>077 407 30 01</t>
  </si>
  <si>
    <t>Schlüsselstrasse 23, 5222 Umiken</t>
  </si>
  <si>
    <t>cyril.anzelini@bluewin.ch</t>
  </si>
  <si>
    <t>CH50 8077 6000 0045 3390 5</t>
  </si>
  <si>
    <t>Lieber Cyril</t>
  </si>
  <si>
    <t>Daivon</t>
  </si>
  <si>
    <t>Daia von Planta</t>
  </si>
  <si>
    <t>Daia</t>
  </si>
  <si>
    <t>von Planta</t>
  </si>
  <si>
    <t>756.9198.8829.40</t>
  </si>
  <si>
    <t>Klingenstrasse 38, 8005 Zürich</t>
  </si>
  <si>
    <t>daia.vonplanta@schulen.zuerich.ch</t>
  </si>
  <si>
    <t>CH63 0839 0035 8441 1000 3</t>
  </si>
  <si>
    <t>Lieber Daia</t>
  </si>
  <si>
    <t>DamHar</t>
  </si>
  <si>
    <t>Damian Haralamb</t>
  </si>
  <si>
    <t>Damian</t>
  </si>
  <si>
    <t>Haralamb</t>
  </si>
  <si>
    <t>079 340 29 52</t>
  </si>
  <si>
    <t>Jurastrasse 69, 3063 Ittigen</t>
  </si>
  <si>
    <t>dahar@bluewin.ch</t>
  </si>
  <si>
    <t>CH58 0900 0000 8924 7806 0</t>
  </si>
  <si>
    <t>Sehr geehrter Herr Haralamb</t>
  </si>
  <si>
    <t>DamMar</t>
  </si>
  <si>
    <t>Damiano Marino</t>
  </si>
  <si>
    <t>Damiano</t>
  </si>
  <si>
    <t>Hilfsleiter_in</t>
  </si>
  <si>
    <t>076 387 08 84</t>
  </si>
  <si>
    <t>damiano.marino@bluewin.ch</t>
  </si>
  <si>
    <t>CH93 0483 5178 5482 40000 0</t>
  </si>
  <si>
    <t>Lieber Damiano</t>
  </si>
  <si>
    <t>DanKäg</t>
  </si>
  <si>
    <t>Daniel Kägi</t>
  </si>
  <si>
    <t>Daniel</t>
  </si>
  <si>
    <t>Kägi</t>
  </si>
  <si>
    <t>078 601 53 32</t>
  </si>
  <si>
    <t>Dachslernstrasse 7, 8048 Zürich</t>
  </si>
  <si>
    <t>d_kaegi@gmx.net</t>
  </si>
  <si>
    <t>CH68 00700 110900036876</t>
  </si>
  <si>
    <t>Lieber Daniel</t>
  </si>
  <si>
    <t>DanSch</t>
  </si>
  <si>
    <t>Daniela Scheller</t>
  </si>
  <si>
    <t>Daniela</t>
  </si>
  <si>
    <t>Scheller</t>
  </si>
  <si>
    <t>079 690 07 79</t>
  </si>
  <si>
    <t>Münsterhof 19, 8001 Zürich</t>
  </si>
  <si>
    <t>danielavalerie.scheller@gmail.com</t>
  </si>
  <si>
    <t>CH26 0830 7000 3720 0730 9</t>
  </si>
  <si>
    <t>Liebe Daniela</t>
  </si>
  <si>
    <t>DanSta</t>
  </si>
  <si>
    <t>Daniel Stangl</t>
  </si>
  <si>
    <t>Stangl</t>
  </si>
  <si>
    <t>077 446 92 49</t>
  </si>
  <si>
    <t>Münigenstrasse 6b, 6208 Oberkirch</t>
  </si>
  <si>
    <t>daniel.stangl@gmx.ch</t>
  </si>
  <si>
    <t>CH04 0077 8197 6152 2200 1</t>
  </si>
  <si>
    <t>DarBee</t>
  </si>
  <si>
    <t>Darryl Beeler</t>
  </si>
  <si>
    <t>Darryl</t>
  </si>
  <si>
    <t>Beeler</t>
  </si>
  <si>
    <t>079 889 87 83</t>
  </si>
  <si>
    <t>Hardstrasse 6, 8004 Zürich</t>
  </si>
  <si>
    <t>darryl.beeler@bluewin.ch</t>
  </si>
  <si>
    <t>CH3000777004160941449</t>
  </si>
  <si>
    <t>Lieber Darryl</t>
  </si>
  <si>
    <t>DarKus</t>
  </si>
  <si>
    <t>Dario Kuster</t>
  </si>
  <si>
    <t>Dario</t>
  </si>
  <si>
    <t>077 424 37 62</t>
  </si>
  <si>
    <t>Probsteistrasse 117, 8051 Zuerich</t>
  </si>
  <si>
    <t>commandantemusic@gmail.com</t>
  </si>
  <si>
    <t>CH49 0900 0000 3039 4148 9</t>
  </si>
  <si>
    <t>Lieber Dario</t>
  </si>
  <si>
    <t>DarZav</t>
  </si>
  <si>
    <t>Dario Zavalloni</t>
  </si>
  <si>
    <t>Zavalloni</t>
  </si>
  <si>
    <t>076 412 83 92</t>
  </si>
  <si>
    <t>Zürichholzstrasse 4, 8057 Zürich</t>
  </si>
  <si>
    <t>zavallonidario@gmail.com</t>
  </si>
  <si>
    <t>CH62 0900 0000 3075 0843 0</t>
  </si>
  <si>
    <t>DavTri</t>
  </si>
  <si>
    <t>David Trindler</t>
  </si>
  <si>
    <t>David</t>
  </si>
  <si>
    <t>Trindler</t>
  </si>
  <si>
    <t>076 379 00 56</t>
  </si>
  <si>
    <t>Mattengasse 7, 8005 Zürich</t>
  </si>
  <si>
    <t>dt1@gmx.ch</t>
  </si>
  <si>
    <t>Ch89 0023 0230 3898 0040 G</t>
  </si>
  <si>
    <t>Lieber David</t>
  </si>
  <si>
    <t>DenRic</t>
  </si>
  <si>
    <t>Denny Richter</t>
  </si>
  <si>
    <t>Denny</t>
  </si>
  <si>
    <t>Richter</t>
  </si>
  <si>
    <t>076 454 50 92</t>
  </si>
  <si>
    <t>Soodstrasse 45, 8134 Adliswil</t>
  </si>
  <si>
    <t>denny.richter@schulen.zuerich.ch</t>
  </si>
  <si>
    <t>CH87 0900 0000 3134 3594 1</t>
  </si>
  <si>
    <t>Lieber Denny</t>
  </si>
  <si>
    <t>DenTod</t>
  </si>
  <si>
    <t>Dennis Todesco</t>
  </si>
  <si>
    <t>Dennis</t>
  </si>
  <si>
    <t>Todesco</t>
  </si>
  <si>
    <t>756.8088.5216.48</t>
  </si>
  <si>
    <t>078 677 66 43</t>
  </si>
  <si>
    <t>Sonnenbergstrasse 37, 8800 Thalwil</t>
  </si>
  <si>
    <t>dennis.todesco@gmx.ch</t>
  </si>
  <si>
    <t>CH55 0070 0110 0062 3759 4</t>
  </si>
  <si>
    <t>Lieber Dennis</t>
  </si>
  <si>
    <t>DomEgg</t>
  </si>
  <si>
    <t>Dominic Egger</t>
  </si>
  <si>
    <t>Dominic</t>
  </si>
  <si>
    <t>Egger</t>
  </si>
  <si>
    <t>079 741 14 64</t>
  </si>
  <si>
    <t>Zürcherstrasse 76b, 8142 Uitikon Waldegg</t>
  </si>
  <si>
    <t>dominic.egger@eggeruitikon.ch</t>
  </si>
  <si>
    <t>CH11 0020 6206 P021 5387 0</t>
  </si>
  <si>
    <t>Lieber Dominic</t>
  </si>
  <si>
    <t>DomGra</t>
  </si>
  <si>
    <t>Dominic Graber</t>
  </si>
  <si>
    <t>Graber</t>
  </si>
  <si>
    <t>079 936 23 78</t>
  </si>
  <si>
    <t>Drusbergstrasse 36, 8053 Zürich</t>
  </si>
  <si>
    <t>dominicgraber@msn.com</t>
  </si>
  <si>
    <t>CH6709000000800972366</t>
  </si>
  <si>
    <t>DomRot</t>
  </si>
  <si>
    <t>Dominik Roth</t>
  </si>
  <si>
    <t>Dominik</t>
  </si>
  <si>
    <t>Roth</t>
  </si>
  <si>
    <t>079 810 91 00</t>
  </si>
  <si>
    <t>Trottenackerstrasse 33, 8458 Dorf</t>
  </si>
  <si>
    <t>dominik-roth@bluewin.ch</t>
  </si>
  <si>
    <t>CH04 8148 5000 0075 8698 7</t>
  </si>
  <si>
    <t>Lieber Dominik</t>
  </si>
  <si>
    <t>DomSta</t>
  </si>
  <si>
    <t>Dominique Jeanne Staub</t>
  </si>
  <si>
    <t>Dominique Jeanne</t>
  </si>
  <si>
    <t>Staub</t>
  </si>
  <si>
    <t>079 930 01 04</t>
  </si>
  <si>
    <t>Tulpenweg 40, 3097 Liebefeld</t>
  </si>
  <si>
    <t>dominique-staub@outlook.com</t>
  </si>
  <si>
    <t>CH69 0900 0000 3018 6717 2</t>
  </si>
  <si>
    <t>Liebe Dominique Jeanne</t>
  </si>
  <si>
    <t>DorReu</t>
  </si>
  <si>
    <t>Dorothea Reusser</t>
  </si>
  <si>
    <t>Dorothea</t>
  </si>
  <si>
    <t>Reusser</t>
  </si>
  <si>
    <t>077 419 08 06</t>
  </si>
  <si>
    <t>Letzigraben 43, 8003 Zürich</t>
  </si>
  <si>
    <t>doro_eta@bluewin.ch</t>
  </si>
  <si>
    <t>CH15 0900 0000 8732 7632 6</t>
  </si>
  <si>
    <t>Liebe Dorothea</t>
  </si>
  <si>
    <t>DouBre</t>
  </si>
  <si>
    <t>Douglas Brennan</t>
  </si>
  <si>
    <t>Douglas</t>
  </si>
  <si>
    <t>Brennan</t>
  </si>
  <si>
    <t>079 861 96 26</t>
  </si>
  <si>
    <t>Bahnweg 16, 3176 Neuenegg</t>
  </si>
  <si>
    <t>douglas.brennan@me.com</t>
  </si>
  <si>
    <t>CH760023523516027840D</t>
  </si>
  <si>
    <t>Lieber Douglas</t>
  </si>
  <si>
    <t>EddRoh</t>
  </si>
  <si>
    <t>Edda Rohrbach</t>
  </si>
  <si>
    <t>Edda</t>
  </si>
  <si>
    <t>Rohrbach</t>
  </si>
  <si>
    <t>079 705 39 21</t>
  </si>
  <si>
    <t>Suttershausweid, 3153 Rüschegg</t>
  </si>
  <si>
    <t>eddarohrbach@bluewin.ch</t>
  </si>
  <si>
    <t>CH39 0851 8021 6062 3015 0</t>
  </si>
  <si>
    <t>Liebe Edda</t>
  </si>
  <si>
    <t>EliSch</t>
  </si>
  <si>
    <t>Eliane Schmidiger</t>
  </si>
  <si>
    <t>Eliane</t>
  </si>
  <si>
    <t>Schmidiger</t>
  </si>
  <si>
    <t>077 451 55 86</t>
  </si>
  <si>
    <t>Dammweg 3, 6072 Sachseln</t>
  </si>
  <si>
    <t>eliane.schmidiger@bluewin.ch</t>
  </si>
  <si>
    <t>CH18 8123 2000 0076 2644 8</t>
  </si>
  <si>
    <t>Liebe Eliane</t>
  </si>
  <si>
    <t>EtiHof</t>
  </si>
  <si>
    <t>Etienne Hofstetter</t>
  </si>
  <si>
    <t>Etienne</t>
  </si>
  <si>
    <t>Hofstetter</t>
  </si>
  <si>
    <t>077 481 46 83</t>
  </si>
  <si>
    <t>Blinzernstrasse 43, 3098 Köniz</t>
  </si>
  <si>
    <t>etienne@t-rex.tours</t>
  </si>
  <si>
    <t>CH93 0900 0000 3072 2327 4</t>
  </si>
  <si>
    <t>Lieber Etienne</t>
  </si>
  <si>
    <t>FabHum</t>
  </si>
  <si>
    <t>Fabian Humbel</t>
  </si>
  <si>
    <t>Fabian</t>
  </si>
  <si>
    <t>Humbel</t>
  </si>
  <si>
    <t>+41 79 728 23 17</t>
  </si>
  <si>
    <t>Sägemattstrasse 28, 3097 Liebefeld</t>
  </si>
  <si>
    <t>bernflip@gmail.com</t>
  </si>
  <si>
    <t>CH33 8086 0000 0034 9104 4</t>
  </si>
  <si>
    <t>Lieber Fabian</t>
  </si>
  <si>
    <t>FabJau</t>
  </si>
  <si>
    <t>Fabian Jaussi</t>
  </si>
  <si>
    <t>Jaussi</t>
  </si>
  <si>
    <t>078 864 37 68</t>
  </si>
  <si>
    <t>Klausstrasse 37, 8008 Zürich</t>
  </si>
  <si>
    <t>jaussi.fabian@gmail.com</t>
  </si>
  <si>
    <t>CH080025125110550640D</t>
  </si>
  <si>
    <t>FabMaf</t>
  </si>
  <si>
    <t>Fabrizio Maffi</t>
  </si>
  <si>
    <t>Fabrizio</t>
  </si>
  <si>
    <t>Maffi</t>
  </si>
  <si>
    <t>Schulhauslager</t>
  </si>
  <si>
    <t>079 607 71 74</t>
  </si>
  <si>
    <t>Abendstrasse, 8217 Wilchingen</t>
  </si>
  <si>
    <t>fabrizio.maffi@bluewin.ch</t>
  </si>
  <si>
    <t>CH38 0685 8016 0271 4040 3</t>
  </si>
  <si>
    <t>Lieber Fabrizio</t>
  </si>
  <si>
    <t>FabTan</t>
  </si>
  <si>
    <t>Fabian Tandler</t>
  </si>
  <si>
    <t>Tandler</t>
  </si>
  <si>
    <t>076 702 66 47</t>
  </si>
  <si>
    <t>Grünau, 8915 Hausen am Albis</t>
  </si>
  <si>
    <t>fabiantandler@gmail.com</t>
  </si>
  <si>
    <t>CH27 0070 0110 0015 2089 1</t>
  </si>
  <si>
    <t>FabWin</t>
  </si>
  <si>
    <t>Fabienne Winkler</t>
  </si>
  <si>
    <t>Fabienne</t>
  </si>
  <si>
    <t>Winkler</t>
  </si>
  <si>
    <t>079 325 89 70</t>
  </si>
  <si>
    <t>Weststrasse 127, 8408 Winterthur</t>
  </si>
  <si>
    <t>fabienne.winkler@hotmail.com</t>
  </si>
  <si>
    <t>CH10 0070 0112 2000 9768 6</t>
  </si>
  <si>
    <t>Liebe Fabienne</t>
  </si>
  <si>
    <t>FelIsl</t>
  </si>
  <si>
    <t>Felix Isliker</t>
  </si>
  <si>
    <t>Felix</t>
  </si>
  <si>
    <t>Isliker</t>
  </si>
  <si>
    <t>079 615 88 68</t>
  </si>
  <si>
    <t>Oberseestrasse 78, 8645 Jona</t>
  </si>
  <si>
    <t>f.isliker@gmail.com</t>
  </si>
  <si>
    <t>felix.isliker@schneezueri.ch</t>
  </si>
  <si>
    <t>CH02 0070 0115 5001 6790 7</t>
  </si>
  <si>
    <t>Lieber Felix</t>
  </si>
  <si>
    <t>FioSti</t>
  </si>
  <si>
    <t>Fiona Stierli</t>
  </si>
  <si>
    <t>Fiona</t>
  </si>
  <si>
    <t>Stierli</t>
  </si>
  <si>
    <t>076 425 27 95</t>
  </si>
  <si>
    <t>Doeltschiweg 25, 8055 Zürich</t>
  </si>
  <si>
    <t>fiona_stierli@hotmail.com</t>
  </si>
  <si>
    <t>CH63 0070 0110 0033 9535 0</t>
  </si>
  <si>
    <t>Liebe Fiona</t>
  </si>
  <si>
    <t>Fiovon</t>
  </si>
  <si>
    <t>Fiona von Burg</t>
  </si>
  <si>
    <t>von Burg</t>
  </si>
  <si>
    <t>078 859 93 31</t>
  </si>
  <si>
    <t>Agnesstrasse 39, 8004 Zürich</t>
  </si>
  <si>
    <t>fiona.vonburg@uzh.ch</t>
  </si>
  <si>
    <t>CH960027027082725040W</t>
  </si>
  <si>
    <t>FloRin</t>
  </si>
  <si>
    <t>Floriane Rinderknecht</t>
  </si>
  <si>
    <t>Floriane</t>
  </si>
  <si>
    <t>Rinderknecht</t>
  </si>
  <si>
    <t>076 549 65 43</t>
  </si>
  <si>
    <t>Imfeldsteig 2, 8037 Zürich</t>
  </si>
  <si>
    <t>florita@gmx.ch</t>
  </si>
  <si>
    <t>CH8300700112600034938</t>
  </si>
  <si>
    <t>Liebe Floriane</t>
  </si>
  <si>
    <t>FluBez</t>
  </si>
  <si>
    <t>Flurina Bezzola</t>
  </si>
  <si>
    <t>Flurina</t>
  </si>
  <si>
    <t>Bezzola</t>
  </si>
  <si>
    <t>079 449 12 81</t>
  </si>
  <si>
    <t>Via Rondo 3, 7504 Pontresina</t>
  </si>
  <si>
    <t>flurinabezzola@hotmail.com</t>
  </si>
  <si>
    <t>CH55 0077 4110 0261 8660 0</t>
  </si>
  <si>
    <t>Liebe Flurina</t>
  </si>
  <si>
    <t>FraFuc</t>
  </si>
  <si>
    <t>Franziska Fuchser</t>
  </si>
  <si>
    <t>Franziska</t>
  </si>
  <si>
    <t>Fuchser</t>
  </si>
  <si>
    <t>756.5109.2866.47</t>
  </si>
  <si>
    <t>079 678 50 51</t>
  </si>
  <si>
    <t>Gössikon 26, 8126 Zumikon</t>
  </si>
  <si>
    <t>franziska.f@swissonline.ch</t>
  </si>
  <si>
    <t>CH96 0900 0000 8755 2109 7</t>
  </si>
  <si>
    <t>Liebe Franziska</t>
  </si>
  <si>
    <t>FraHag</t>
  </si>
  <si>
    <t>Franz Hagmann</t>
  </si>
  <si>
    <t>Franz</t>
  </si>
  <si>
    <t>Hagmann</t>
  </si>
  <si>
    <t>+43 670 550 98 38</t>
  </si>
  <si>
    <t>Elsässerstrasse 27, 4056 Basel</t>
  </si>
  <si>
    <t>franz.hagmann@bluewin.ch</t>
  </si>
  <si>
    <t>CH21 0900 0000 4052 44 62 2</t>
  </si>
  <si>
    <t>Lieber Franz</t>
  </si>
  <si>
    <t>FraHar</t>
  </si>
  <si>
    <t>Frank Hardter</t>
  </si>
  <si>
    <t>Frank</t>
  </si>
  <si>
    <t>Hardter</t>
  </si>
  <si>
    <t>079 936 14 61</t>
  </si>
  <si>
    <t>Heinrichstrasse 217, 8005 Zürich</t>
  </si>
  <si>
    <t>frank.hardter@schulen.zuerich.ch</t>
  </si>
  <si>
    <t>CH5409000000802842178</t>
  </si>
  <si>
    <t>Lieber Frank</t>
  </si>
  <si>
    <t>FriKat</t>
  </si>
  <si>
    <t>Fridoline Katukala</t>
  </si>
  <si>
    <t>Fridoline</t>
  </si>
  <si>
    <t>Katukala</t>
  </si>
  <si>
    <t>image_m3dvm9.jpg</t>
  </si>
  <si>
    <t>079 858 84 12</t>
  </si>
  <si>
    <t>Limmatstrasse 163, 8005 Zürich</t>
  </si>
  <si>
    <t>katukala.fridoline@gmail.com</t>
  </si>
  <si>
    <t>CH130027027010267740F</t>
  </si>
  <si>
    <t>Liebe Fridoline</t>
  </si>
  <si>
    <t>GabHau</t>
  </si>
  <si>
    <t>Gabriel Haupt</t>
  </si>
  <si>
    <t>Gabriel</t>
  </si>
  <si>
    <t>Haupt</t>
  </si>
  <si>
    <t>078 813 08 90</t>
  </si>
  <si>
    <t>Entlisbergstrasse 9, 8038 Zürich</t>
  </si>
  <si>
    <t>gabriel.haupt@hispeed.ch</t>
  </si>
  <si>
    <t>CH14 0070 0110 0030 0600 1</t>
  </si>
  <si>
    <t>Lieber Gabriel</t>
  </si>
  <si>
    <t>GabWit</t>
  </si>
  <si>
    <t>Gabriela Wittliner</t>
  </si>
  <si>
    <t>Gabriela</t>
  </si>
  <si>
    <t>Wittliner</t>
  </si>
  <si>
    <t>079 794 41 28</t>
  </si>
  <si>
    <t>Dunkelhölzlistrasse 11, 8048 Zürich</t>
  </si>
  <si>
    <t>gabriela.wittlinger@gmail.com</t>
  </si>
  <si>
    <t>CH31 0028 3283 8128 3441 Y</t>
  </si>
  <si>
    <t>Liebe Gabriela</t>
  </si>
  <si>
    <t>GabZür</t>
  </si>
  <si>
    <t>Gabriel Zürcher</t>
  </si>
  <si>
    <t>Zürcher</t>
  </si>
  <si>
    <t>076 260 06 33</t>
  </si>
  <si>
    <t>Afuris 21, 7015 Tamins</t>
  </si>
  <si>
    <t>gzuercher@zueritoent.ch</t>
  </si>
  <si>
    <t>CH6400700110006240633</t>
  </si>
  <si>
    <t>GasCha</t>
  </si>
  <si>
    <t>Gasnel Charlot</t>
  </si>
  <si>
    <t>Gasnel</t>
  </si>
  <si>
    <t>Charlot</t>
  </si>
  <si>
    <t>079 656 20 71</t>
  </si>
  <si>
    <t>Furttallstrasse 56, 8046 Zürich</t>
  </si>
  <si>
    <t>mcblackg@gmx.ch</t>
  </si>
  <si>
    <t>CH23 0070 0111 1000 4567 2</t>
  </si>
  <si>
    <t>Lieber Gasnel</t>
  </si>
  <si>
    <t>GatVie</t>
  </si>
  <si>
    <t>Gatsón Viethen</t>
  </si>
  <si>
    <t>Gatsón</t>
  </si>
  <si>
    <t>Viethen</t>
  </si>
  <si>
    <t>077 401 52 23</t>
  </si>
  <si>
    <t>Cunzstrasse 6, 9016 St. Gallen</t>
  </si>
  <si>
    <t>gaston.viethen@gmail.com</t>
  </si>
  <si>
    <t>CH36 8080 8003 7714 6945 4</t>
  </si>
  <si>
    <t>Lieber Gatsón</t>
  </si>
  <si>
    <t>GiaKob</t>
  </si>
  <si>
    <t>Gian Kobel</t>
  </si>
  <si>
    <t>Gian</t>
  </si>
  <si>
    <t>Kobel</t>
  </si>
  <si>
    <t>078 800 80 51</t>
  </si>
  <si>
    <t>Haldensteig 10, 8706 Männedorf</t>
  </si>
  <si>
    <t>gian.kobel@gmail.com</t>
  </si>
  <si>
    <t>CH27 0023 8238 1067 5740 B</t>
  </si>
  <si>
    <t>Sehr geehrter Herr Kobel</t>
  </si>
  <si>
    <t>HadVla</t>
  </si>
  <si>
    <t>Hadassa Vladar</t>
  </si>
  <si>
    <t>Hadassa</t>
  </si>
  <si>
    <t>Vladar</t>
  </si>
  <si>
    <t>078 221 40 99</t>
  </si>
  <si>
    <t>Albisriederstrasse 130, 8003 Zürich</t>
  </si>
  <si>
    <t>vladarhadassa@gmail.com</t>
  </si>
  <si>
    <t>CH76 0070 0114 8029 1369 7</t>
  </si>
  <si>
    <t>Liebe Hadassa</t>
  </si>
  <si>
    <t>Hansueli Bachofner</t>
  </si>
  <si>
    <t>Hansueli</t>
  </si>
  <si>
    <t>Bachofner</t>
  </si>
  <si>
    <t>756.7206.0023.73</t>
  </si>
  <si>
    <t>079 798 82 77</t>
  </si>
  <si>
    <t>Zürcherstrasse 63, 8320 Fehraltorf</t>
  </si>
  <si>
    <t>hansueli.bachofner@gmail.com</t>
  </si>
  <si>
    <t>CH49 0840 1000 0559 0587 0</t>
  </si>
  <si>
    <t>Lieber Hansueli</t>
  </si>
  <si>
    <t>HanKwa</t>
  </si>
  <si>
    <t>Hannah Kwasnicki</t>
  </si>
  <si>
    <t>Hannah</t>
  </si>
  <si>
    <t>Kwasnicki</t>
  </si>
  <si>
    <t>076 452 87 13</t>
  </si>
  <si>
    <t>Stettbacherrain 20, 8051 Zürich</t>
  </si>
  <si>
    <t>hannah.kwasnicki@schulen.zuerich.ch</t>
  </si>
  <si>
    <t>CH31 0028 7287 8525 1240 R</t>
  </si>
  <si>
    <t>Liebe Hannah</t>
  </si>
  <si>
    <t>IreBef</t>
  </si>
  <si>
    <t>Irene Beffa</t>
  </si>
  <si>
    <t>Irene</t>
  </si>
  <si>
    <t>Beffa</t>
  </si>
  <si>
    <t>079 170 45 23</t>
  </si>
  <si>
    <t>Rossbergstrasse 6, 8002 Zürich</t>
  </si>
  <si>
    <t>irene.beffa@gmail.com</t>
  </si>
  <si>
    <t>CH16 0900 0000 1516 2793 0</t>
  </si>
  <si>
    <t>Liebe Irene</t>
  </si>
  <si>
    <t>IreOsi</t>
  </si>
  <si>
    <t>Ireti Osinuga</t>
  </si>
  <si>
    <t>Ireti</t>
  </si>
  <si>
    <t>Osinuga</t>
  </si>
  <si>
    <t>076 390 28 77</t>
  </si>
  <si>
    <t>Hardstrasse 55, 8004 Zürich</t>
  </si>
  <si>
    <t>iretiosinuga2003@gmail.com</t>
  </si>
  <si>
    <t>6804835150768910000</t>
  </si>
  <si>
    <t>Liebe Ireti</t>
  </si>
  <si>
    <t>IsaDre</t>
  </si>
  <si>
    <t>Isabelle Dreyer</t>
  </si>
  <si>
    <t>Isabelle</t>
  </si>
  <si>
    <t>Dreyer</t>
  </si>
  <si>
    <t>72 Bettmeralp MS</t>
  </si>
  <si>
    <t>079 261 39 05</t>
  </si>
  <si>
    <t>isadreyer@gmx.ch</t>
  </si>
  <si>
    <t>isabelle.dreyer@schneezueri.ch</t>
  </si>
  <si>
    <t>CH96 0070 0110 9000 3646 9</t>
  </si>
  <si>
    <t>Liebe Isabelle</t>
  </si>
  <si>
    <t>IsaHel</t>
  </si>
  <si>
    <t>Isabel Helbling</t>
  </si>
  <si>
    <t>Isabel</t>
  </si>
  <si>
    <t>Helbling</t>
  </si>
  <si>
    <t>077 421 95 51</t>
  </si>
  <si>
    <t>Allenmoosstrasse 101, 8057 Zürich</t>
  </si>
  <si>
    <t>isabel.helbling@schulen.zuerich.ch</t>
  </si>
  <si>
    <t>CH70 0070 0350 0519 2421 5</t>
  </si>
  <si>
    <t>Liebe Isabel</t>
  </si>
  <si>
    <t>JacSum</t>
  </si>
  <si>
    <t>Jacques Summermatter</t>
  </si>
  <si>
    <t>Jacques</t>
  </si>
  <si>
    <t>Summermatter</t>
  </si>
  <si>
    <t>078 810 60 27</t>
  </si>
  <si>
    <t>Schulhausstrasse 3, 3924 St. Niklaus</t>
  </si>
  <si>
    <t>jacquesfreestyle@gmx.ch</t>
  </si>
  <si>
    <t>CH73 8049 6000 0012 4987 9</t>
  </si>
  <si>
    <t>Sehr geehrter Herr Summermatter</t>
  </si>
  <si>
    <t>JanHof</t>
  </si>
  <si>
    <t>Jang (Jean) Hoffmann</t>
  </si>
  <si>
    <t>Jang (Jean)</t>
  </si>
  <si>
    <t>Hoffmann</t>
  </si>
  <si>
    <t>079 826 96 24</t>
  </si>
  <si>
    <t>Eierbrechtstrasse 61, 8053 Zürich</t>
  </si>
  <si>
    <t>jangsbox@gmx.ch</t>
  </si>
  <si>
    <t>CH45 8148 7000 0418 3607 3</t>
  </si>
  <si>
    <t>Lieber Jang (Jean)</t>
  </si>
  <si>
    <t>JanWig</t>
  </si>
  <si>
    <t>Janine Wiget</t>
  </si>
  <si>
    <t>Janine</t>
  </si>
  <si>
    <t>Wiget</t>
  </si>
  <si>
    <t>079 284 50 60</t>
  </si>
  <si>
    <t>Heinrichstrasse 262, 8005 Zürich</t>
  </si>
  <si>
    <t>mail@janinewiget.com</t>
  </si>
  <si>
    <t>CH44 0839 0035 9140 1000 0</t>
  </si>
  <si>
    <t>Liebe Janine</t>
  </si>
  <si>
    <t>JeaEhr</t>
  </si>
  <si>
    <t>Jeannine Ehrler</t>
  </si>
  <si>
    <t>Jeannine</t>
  </si>
  <si>
    <t>078 864 02 67</t>
  </si>
  <si>
    <t>j.ehrler@bluemail.ch</t>
  </si>
  <si>
    <t>CH05 0900 0000 6054 5116 4</t>
  </si>
  <si>
    <t>Liebe Jeannine</t>
  </si>
  <si>
    <t>JeaGeh</t>
  </si>
  <si>
    <t>Jeanne Gehrig</t>
  </si>
  <si>
    <t>Jeanne</t>
  </si>
  <si>
    <t>Gehrig</t>
  </si>
  <si>
    <t>079 458 10 47</t>
  </si>
  <si>
    <t>Mittelstrasse 24, 8008 Zürich</t>
  </si>
  <si>
    <t>gehrig.jeanne@gmail.com</t>
  </si>
  <si>
    <t>CH76 0685 0016 5011 1160 7</t>
  </si>
  <si>
    <t>Liebe Jeanne</t>
  </si>
  <si>
    <t>JenSov</t>
  </si>
  <si>
    <t>Jennifer Sova</t>
  </si>
  <si>
    <t>Jennifer</t>
  </si>
  <si>
    <t>Sova</t>
  </si>
  <si>
    <t>079 224 90 45</t>
  </si>
  <si>
    <t>Regensdorferstr. 3, 8104 Weiningen</t>
  </si>
  <si>
    <t>Jenny02@bluewin.ch</t>
  </si>
  <si>
    <t>CH6800700114802357158</t>
  </si>
  <si>
    <t>Liebe Jennifer</t>
  </si>
  <si>
    <t>JenWic</t>
  </si>
  <si>
    <t>Jennyfer Wick</t>
  </si>
  <si>
    <t>Jennyfer</t>
  </si>
  <si>
    <t>Wick</t>
  </si>
  <si>
    <t>Bungertwies</t>
  </si>
  <si>
    <t>079 581 04 76</t>
  </si>
  <si>
    <t>Laubgasse 12, 8500 Frauenfeld</t>
  </si>
  <si>
    <t>jennyfer.wick@schulen.zuerich.ch</t>
  </si>
  <si>
    <t>CH2400784295464532001</t>
  </si>
  <si>
    <t>Liebe Jennyfer</t>
  </si>
  <si>
    <t>JesGra</t>
  </si>
  <si>
    <t>Jessamyn Graves</t>
  </si>
  <si>
    <t>Jessamyn</t>
  </si>
  <si>
    <t>Graves</t>
  </si>
  <si>
    <t>079 345 83 11</t>
  </si>
  <si>
    <t>Seefeldstrasse 199, 8008 Zürich</t>
  </si>
  <si>
    <t>jessamyn.graves@gmail.com</t>
  </si>
  <si>
    <t>CH3909000000877099537</t>
  </si>
  <si>
    <t>Sehr geehrter Herr Graves</t>
  </si>
  <si>
    <t>JesRot</t>
  </si>
  <si>
    <t>Jessica Roth</t>
  </si>
  <si>
    <t>Jessica</t>
  </si>
  <si>
    <t>076 399 31 72</t>
  </si>
  <si>
    <t>Stegenweg 5a, 3172 Niederwangen</t>
  </si>
  <si>
    <t>rothjessica@outlook.com</t>
  </si>
  <si>
    <t>CH050023523516830940G</t>
  </si>
  <si>
    <t>Liebe Jessica</t>
  </si>
  <si>
    <t>JilKrü</t>
  </si>
  <si>
    <t>Jill Krügel</t>
  </si>
  <si>
    <t>Jill</t>
  </si>
  <si>
    <t>Krügel</t>
  </si>
  <si>
    <t>079 892 33 17</t>
  </si>
  <si>
    <t>Im Moos 31, 8902 Urdorf</t>
  </si>
  <si>
    <t>jill.kruegel@bluewin.ch</t>
  </si>
  <si>
    <t>CH8400700110006144049</t>
  </si>
  <si>
    <t>Liebe Jill</t>
  </si>
  <si>
    <t>JilLöt</t>
  </si>
  <si>
    <t>Jil-Andri Lötscher</t>
  </si>
  <si>
    <t>Jil-Andri</t>
  </si>
  <si>
    <t>Lötscher</t>
  </si>
  <si>
    <t>756.5410.4569.37</t>
  </si>
  <si>
    <t>078 673 96 47</t>
  </si>
  <si>
    <t>Georg-Kempf-Strasse 9, 8046 Zürich</t>
  </si>
  <si>
    <t>jil.andri@gmail.com</t>
  </si>
  <si>
    <t>CH0480808004273752617</t>
  </si>
  <si>
    <t>Lieber Jil-Andri</t>
  </si>
  <si>
    <t>JoeCal</t>
  </si>
  <si>
    <t>Joel Callura</t>
  </si>
  <si>
    <t>Joel</t>
  </si>
  <si>
    <t>Callura</t>
  </si>
  <si>
    <t>079 918 42 69</t>
  </si>
  <si>
    <t>Wiesendangerstrasse 20, 8003 Zürich</t>
  </si>
  <si>
    <t>joel.callura@gmail.com</t>
  </si>
  <si>
    <t>CH35 8080 8002 0858 9407 0</t>
  </si>
  <si>
    <t>Lieber Joel</t>
  </si>
  <si>
    <t>JonBal</t>
  </si>
  <si>
    <t>Jonathan Balmer</t>
  </si>
  <si>
    <t>Jonathan</t>
  </si>
  <si>
    <t>Balmer</t>
  </si>
  <si>
    <t>Blumenrainstrasse 26, 9050 Appenzell</t>
  </si>
  <si>
    <t>jonathan.balmer@bluewin.ch</t>
  </si>
  <si>
    <t>CH6600763000645469150</t>
  </si>
  <si>
    <t>Lieber Jonathan</t>
  </si>
  <si>
    <t>JonTha</t>
  </si>
  <si>
    <t>Jonas Thalparpan</t>
  </si>
  <si>
    <t>Jonas</t>
  </si>
  <si>
    <t>Thalparpan</t>
  </si>
  <si>
    <t>+41 79 731 44 74</t>
  </si>
  <si>
    <t>Hedwigstrasse 12, 8032 Zürich</t>
  </si>
  <si>
    <t>jonas.thalparpan@bluewin.ch</t>
  </si>
  <si>
    <t>Lieber Jonas</t>
  </si>
  <si>
    <t>JörBüh</t>
  </si>
  <si>
    <t>Jörg Bühler</t>
  </si>
  <si>
    <t>Jörg</t>
  </si>
  <si>
    <t xml:space="preserve">Bühler </t>
  </si>
  <si>
    <t>Administration</t>
  </si>
  <si>
    <t>079 564 38 46</t>
  </si>
  <si>
    <t>Freudwilerweg 4, 8044 Zürich</t>
  </si>
  <si>
    <t>joerg.buehler@schneezueri.ch</t>
  </si>
  <si>
    <t>CH50 0900 0000 8020 0795 3</t>
  </si>
  <si>
    <t>Lieber Jörg</t>
  </si>
  <si>
    <t>JulBit</t>
  </si>
  <si>
    <t>Julia Bitterli</t>
  </si>
  <si>
    <t>Julia</t>
  </si>
  <si>
    <t>Bitterli</t>
  </si>
  <si>
    <t>078 711 45 41</t>
  </si>
  <si>
    <t>Glaubtenstrasse 39, 8046 Zürich</t>
  </si>
  <si>
    <t>juliabitterli@hotmail.ch</t>
  </si>
  <si>
    <t>CH84 0900 0000 8746 2280 2</t>
  </si>
  <si>
    <t>Liebe Julia</t>
  </si>
  <si>
    <t>JulKäg</t>
  </si>
  <si>
    <t>Jules Kägi</t>
  </si>
  <si>
    <t>Jules</t>
  </si>
  <si>
    <t>893752586</t>
  </si>
  <si>
    <t>Hinterbergstrasse 9, 8499 Sternenberg</t>
  </si>
  <si>
    <t>jules.kaegi@outlook.com</t>
  </si>
  <si>
    <t>CH9480808001007390166</t>
  </si>
  <si>
    <t>Lieber Jules</t>
  </si>
  <si>
    <t>JulLin</t>
  </si>
  <si>
    <t>Julie Lind</t>
  </si>
  <si>
    <t>Julie</t>
  </si>
  <si>
    <t>Lind</t>
  </si>
  <si>
    <t>079 551 86 09</t>
  </si>
  <si>
    <t>Via Fravi 16, 7013 Domat/Ems</t>
  </si>
  <si>
    <t>julie@lind.ch</t>
  </si>
  <si>
    <t>CH4300774000424674801</t>
  </si>
  <si>
    <t>Liebe Julie</t>
  </si>
  <si>
    <t>JürBre</t>
  </si>
  <si>
    <t>Jürg Breitholz</t>
  </si>
  <si>
    <t>Jürg</t>
  </si>
  <si>
    <t>Breitholz</t>
  </si>
  <si>
    <t>079 652 66 03</t>
  </si>
  <si>
    <t>Weissensteinstrasse 93, 3007 Bern</t>
  </si>
  <si>
    <t>juerg.breiholtz@hispeed.ch</t>
  </si>
  <si>
    <t>CH32 0900 00000 3011 8059 3</t>
  </si>
  <si>
    <t>Lieber Jürg</t>
  </si>
  <si>
    <t>JürEgg</t>
  </si>
  <si>
    <t>Jürg Eggenberger</t>
  </si>
  <si>
    <t>Eggenberger</t>
  </si>
  <si>
    <t>079 280 72 36</t>
  </si>
  <si>
    <t>Forchstrasse 204, 8032 Zürich</t>
  </si>
  <si>
    <t>juerg@grabserlade.ch</t>
  </si>
  <si>
    <t>CH08 0023 0230 3293 3740G</t>
  </si>
  <si>
    <t>KarVie</t>
  </si>
  <si>
    <t>Karl-Heinz Viethen</t>
  </si>
  <si>
    <t>Karl-Heinz</t>
  </si>
  <si>
    <t>079 696 57 29</t>
  </si>
  <si>
    <t>Alleestrasse 16, 9326 Horn</t>
  </si>
  <si>
    <t>karl-heinz.viethen@schulen.zuerich.ch</t>
  </si>
  <si>
    <t>CH69 0900 0000 9075 1693 6</t>
  </si>
  <si>
    <t>Lieber Karl-Heinz</t>
  </si>
  <si>
    <t>KatFeh</t>
  </si>
  <si>
    <t>Katrin Fehlmann</t>
  </si>
  <si>
    <t>Katrin</t>
  </si>
  <si>
    <t>Fehlmann</t>
  </si>
  <si>
    <t>076 469 94 93</t>
  </si>
  <si>
    <t>Farbhofstrasse 20, 8048 Zürich</t>
  </si>
  <si>
    <t>katrin_fehlmann@hotmail.com</t>
  </si>
  <si>
    <t>CH5809000000604708063</t>
  </si>
  <si>
    <t>Liebe Katrin</t>
  </si>
  <si>
    <t>KatFri</t>
  </si>
  <si>
    <t>Katharina Fritsche</t>
  </si>
  <si>
    <t>Katharina</t>
  </si>
  <si>
    <t>Fritsche</t>
  </si>
  <si>
    <t>079 520 87 11</t>
  </si>
  <si>
    <t>Zelglistrasse 45, 5463 Wislikofen</t>
  </si>
  <si>
    <t>katharina.fritsche@gmx.ch</t>
  </si>
  <si>
    <t>CH09 8070 0000 0090 9831 6</t>
  </si>
  <si>
    <t>Liebe Katharina</t>
  </si>
  <si>
    <t>KatMei</t>
  </si>
  <si>
    <t>Katja Meier</t>
  </si>
  <si>
    <t>Katja</t>
  </si>
  <si>
    <t>Meier</t>
  </si>
  <si>
    <t>077 408 93 92</t>
  </si>
  <si>
    <t>Schlossbergstr. 5a, 8820 Wädenswil</t>
  </si>
  <si>
    <t>katjanina.meier@outlook.com</t>
  </si>
  <si>
    <t>CH5400700110001427867</t>
  </si>
  <si>
    <t>Liebe Katja</t>
  </si>
  <si>
    <t>KätSch</t>
  </si>
  <si>
    <t>Käthi Schober</t>
  </si>
  <si>
    <t>Käthi</t>
  </si>
  <si>
    <t>Schober</t>
  </si>
  <si>
    <t>079 835 12 03</t>
  </si>
  <si>
    <t>Kindergartenweg 10, 4922 Bützberg</t>
  </si>
  <si>
    <t>Kaethi.schober@schulen.zuerich.ch</t>
  </si>
  <si>
    <t>Liebe Käthi</t>
  </si>
  <si>
    <t>Katvon</t>
  </si>
  <si>
    <t>Katrin von Niederhäusern</t>
  </si>
  <si>
    <t>von Niederhäusern</t>
  </si>
  <si>
    <t>077 531 62 46</t>
  </si>
  <si>
    <t>katrin.vonniederhaeusern@gmail.com</t>
  </si>
  <si>
    <t>CH10 0026 7267 1113 9040 Q</t>
  </si>
  <si>
    <t>KevSim</t>
  </si>
  <si>
    <t>Kevin Simmler</t>
  </si>
  <si>
    <t>Kevin</t>
  </si>
  <si>
    <t>Simmler</t>
  </si>
  <si>
    <t>079 957 78 84</t>
  </si>
  <si>
    <t>alte Schulstrasse 1, 8608 Bubikon</t>
  </si>
  <si>
    <t>kevin.simmler@gmail.com</t>
  </si>
  <si>
    <t>CH81 0070 0112 9001 7780 6</t>
  </si>
  <si>
    <t>Lieber Kevin</t>
  </si>
  <si>
    <t>KevWig</t>
  </si>
  <si>
    <t>Kevin Wiget</t>
  </si>
  <si>
    <t>079 365 64 24</t>
  </si>
  <si>
    <t>Rüfi 3, 8753 Mollis</t>
  </si>
  <si>
    <t>kevin.wiget@gmx.ch</t>
  </si>
  <si>
    <t>CH97 8080 8002 4881 1383 3</t>
  </si>
  <si>
    <t>KimNik</t>
  </si>
  <si>
    <t>Kim Nikulski</t>
  </si>
  <si>
    <t>Kim</t>
  </si>
  <si>
    <t>Nikulski</t>
  </si>
  <si>
    <t>756.6297.6806.99</t>
  </si>
  <si>
    <t>+49 160 93724512</t>
  </si>
  <si>
    <t>Fatiostrasse 10, 4056 Basel</t>
  </si>
  <si>
    <t>k.nikulski@gmail.com</t>
  </si>
  <si>
    <t>CH65 0029 2292 1533 9640 A</t>
  </si>
  <si>
    <t>Lieber Kim</t>
  </si>
  <si>
    <t>KurHoh</t>
  </si>
  <si>
    <t>Kurt Hohl</t>
  </si>
  <si>
    <t>Kurt</t>
  </si>
  <si>
    <t>Hohl</t>
  </si>
  <si>
    <t>Leiterweiterbildung</t>
  </si>
  <si>
    <t>079 413 12 51</t>
  </si>
  <si>
    <t>Schwandenbadstr. 12 a, 3612 Steffisburg</t>
  </si>
  <si>
    <t>ursula.kurt.li@hispeed.ch</t>
  </si>
  <si>
    <t>kurt.hohl@schneezueri.ch</t>
  </si>
  <si>
    <t>CH 22 0900 0000 8018 1455 4</t>
  </si>
  <si>
    <t>Lieber Kurt</t>
  </si>
  <si>
    <t>LarBlo</t>
  </si>
  <si>
    <t>Lars Blomeyer</t>
  </si>
  <si>
    <t>Lars</t>
  </si>
  <si>
    <t>Blomeyer</t>
  </si>
  <si>
    <t>Interesse an Leitertätigkeit</t>
  </si>
  <si>
    <t>078 603 25 90</t>
  </si>
  <si>
    <t>Schaffhauserstrasse 3, 8400 Winterthur</t>
  </si>
  <si>
    <t>lblomeyer@gmail.com</t>
  </si>
  <si>
    <t>CH88 0900 0000 8757 2348 6</t>
  </si>
  <si>
    <t>Lieber Lars</t>
  </si>
  <si>
    <t>LarGyr</t>
  </si>
  <si>
    <t>Larissa Gyr</t>
  </si>
  <si>
    <t>Larissa</t>
  </si>
  <si>
    <t>Gyr</t>
  </si>
  <si>
    <t>076 395 41 17</t>
  </si>
  <si>
    <t>Dietikonerstrasse 3, 8104 Weiningen</t>
  </si>
  <si>
    <t>larissagyr@gmail.com</t>
  </si>
  <si>
    <t>CH44 0070 0114 8041 6916 2</t>
  </si>
  <si>
    <t>Liebe Larissa</t>
  </si>
  <si>
    <t>LarKai</t>
  </si>
  <si>
    <t>Lara Kaiser</t>
  </si>
  <si>
    <t>Lara</t>
  </si>
  <si>
    <t>Kaiser</t>
  </si>
  <si>
    <t>079 587 29 58</t>
  </si>
  <si>
    <t>Bergwiesen 35, 8047 Zürich</t>
  </si>
  <si>
    <t>lara.kaiser@bluewin.ch</t>
  </si>
  <si>
    <t>CH39 0077 7002 1154 2022 5</t>
  </si>
  <si>
    <t>Liebe Lara</t>
  </si>
  <si>
    <t>LauAeb</t>
  </si>
  <si>
    <t>Laurent Aeberli</t>
  </si>
  <si>
    <t>Laurent</t>
  </si>
  <si>
    <t>Aeberli</t>
  </si>
  <si>
    <t>078 755 08 50</t>
  </si>
  <si>
    <t>Sallenbachstrasse 14, 8055 Zürich</t>
  </si>
  <si>
    <t>laurent@lauter.ch</t>
  </si>
  <si>
    <t>CH53 0023 0230 2956 7340 R</t>
  </si>
  <si>
    <t>Lieber Laurent</t>
  </si>
  <si>
    <t>LauBrä</t>
  </si>
  <si>
    <t>Laura Brägger</t>
  </si>
  <si>
    <t>Laura</t>
  </si>
  <si>
    <t>Brägger</t>
  </si>
  <si>
    <t>076 416 81 05</t>
  </si>
  <si>
    <t>Pächterriedstrasse 48, 8105 Watt</t>
  </si>
  <si>
    <t>laura.braegger98@gmail.com</t>
  </si>
  <si>
    <t>CH5300700110004032626</t>
  </si>
  <si>
    <t>Liebe Laura</t>
  </si>
  <si>
    <t>LauEig</t>
  </si>
  <si>
    <t>Laura Eigenmann</t>
  </si>
  <si>
    <t>Eigenmann</t>
  </si>
  <si>
    <t>078 865 43 56</t>
  </si>
  <si>
    <t>Obere Geerenstrasse 6, 8044 Gockhausen</t>
  </si>
  <si>
    <t>laura-eigenmann@hotmail.com</t>
  </si>
  <si>
    <t>CH52 0020 2202 6404 5140 M</t>
  </si>
  <si>
    <t>LauMal</t>
  </si>
  <si>
    <t>Laura Katrin Maluck</t>
  </si>
  <si>
    <t>Laura Katrin</t>
  </si>
  <si>
    <t>Maluck</t>
  </si>
  <si>
    <t>076 496 95 50</t>
  </si>
  <si>
    <t>Rebmoosweg 59, 5200 Brugg</t>
  </si>
  <si>
    <t>laura.maluck@gmx.ch</t>
  </si>
  <si>
    <t>CH25 0076 1053 5981 2200 1</t>
  </si>
  <si>
    <t>Liebe Laura Katrin</t>
  </si>
  <si>
    <t>LawBas</t>
  </si>
  <si>
    <t>Lawrence Bassfeld</t>
  </si>
  <si>
    <t>Lawrence</t>
  </si>
  <si>
    <t>Bassfeld</t>
  </si>
  <si>
    <t>+41 79 134 01 16</t>
  </si>
  <si>
    <t>Espelstrasse 16, 8308 Illnau</t>
  </si>
  <si>
    <t>lawrence@bassfeld.com</t>
  </si>
  <si>
    <t>CH60 0022 3223 1045 90M1 A</t>
  </si>
  <si>
    <t>Lieber Lawrence</t>
  </si>
  <si>
    <t>LeaXav</t>
  </si>
  <si>
    <t>Leandro Xavier Pereira</t>
  </si>
  <si>
    <t>Leandro</t>
  </si>
  <si>
    <t>Xavier Pereira</t>
  </si>
  <si>
    <t>Eerste Atjehstraat 77 H, 1094 Amsterdam-Oost</t>
  </si>
  <si>
    <t>leandro.xape@gmail.com</t>
  </si>
  <si>
    <t>NL90INGB0703572962</t>
  </si>
  <si>
    <t>Lieber Leandro</t>
  </si>
  <si>
    <t>LeiWei</t>
  </si>
  <si>
    <t>Leila Weidmann</t>
  </si>
  <si>
    <t>Leila</t>
  </si>
  <si>
    <t>Weidmann</t>
  </si>
  <si>
    <t>079 872 76 21</t>
  </si>
  <si>
    <t>Stegmätteli 9, 3177 Laupen</t>
  </si>
  <si>
    <t>leila.widmann@complenus.ch</t>
  </si>
  <si>
    <t>CH35 0026 0260 1065 0740 U</t>
  </si>
  <si>
    <t>Liebe Leila</t>
  </si>
  <si>
    <t>LenRod</t>
  </si>
  <si>
    <t>Lena Rodrigues</t>
  </si>
  <si>
    <t>Lena</t>
  </si>
  <si>
    <t>Rodrigues</t>
  </si>
  <si>
    <t>076 501 78 97</t>
  </si>
  <si>
    <t>Awandelweg, 8606 Greifensee</t>
  </si>
  <si>
    <t>lena.rodrigues@gmx.ch</t>
  </si>
  <si>
    <t>1909000000872243592</t>
  </si>
  <si>
    <t>Liebe Lena</t>
  </si>
  <si>
    <t>LeoAda</t>
  </si>
  <si>
    <t>Leon Adamski</t>
  </si>
  <si>
    <t>Leon</t>
  </si>
  <si>
    <t>Adamski</t>
  </si>
  <si>
    <t>756.2804.2892.87</t>
  </si>
  <si>
    <t>076 565 51 93</t>
  </si>
  <si>
    <t>Balgriststrasse 6, 8008 Zürich</t>
  </si>
  <si>
    <t>lenny.adamski@gmail.com</t>
  </si>
  <si>
    <t>CH59 0021 4274 1029 5040N</t>
  </si>
  <si>
    <t>Lieber Leon</t>
  </si>
  <si>
    <t>LeoBau</t>
  </si>
  <si>
    <t>Leo Bauer</t>
  </si>
  <si>
    <t>Leo</t>
  </si>
  <si>
    <t>Bauer</t>
  </si>
  <si>
    <t>079 176 08 92</t>
  </si>
  <si>
    <t>Seefeldstrasse 193, 8008 Zürich</t>
  </si>
  <si>
    <t>leobauer@bluewin.ch</t>
  </si>
  <si>
    <t>CH08 0070 0110 0048 8713 3</t>
  </si>
  <si>
    <t>Lieber Leo</t>
  </si>
  <si>
    <t>LeoNot</t>
  </si>
  <si>
    <t>Leo Noth</t>
  </si>
  <si>
    <t>Noth</t>
  </si>
  <si>
    <t>077 437 18 69</t>
  </si>
  <si>
    <t>Grenzstrasse 13, 8406 Winterthur</t>
  </si>
  <si>
    <t>hoseploz@gmail.com</t>
  </si>
  <si>
    <t>CH51 0900 0000 8740 2587 6</t>
  </si>
  <si>
    <t>LeoSut</t>
  </si>
  <si>
    <t>Leonie Sutter</t>
  </si>
  <si>
    <t>Leonie</t>
  </si>
  <si>
    <t>Sutter</t>
  </si>
  <si>
    <t>079 684 20 40</t>
  </si>
  <si>
    <t>Tüfwiesenstrasse 40, 8606 Nänikon</t>
  </si>
  <si>
    <t>leonie.sutter01@gmail.com</t>
  </si>
  <si>
    <t>CH1880808007830434584</t>
  </si>
  <si>
    <t>Liebe Leonie</t>
  </si>
  <si>
    <t>LinSzö</t>
  </si>
  <si>
    <t>Lina Szöcs</t>
  </si>
  <si>
    <t>Lina</t>
  </si>
  <si>
    <t>Szöcs</t>
  </si>
  <si>
    <t>079 776 38 49</t>
  </si>
  <si>
    <t>Denzlerstrasse 35, 8004 Zürich</t>
  </si>
  <si>
    <t>lina93@gmx.ch</t>
  </si>
  <si>
    <t>CH88 0070 0114 7000 7379 0</t>
  </si>
  <si>
    <t>Liebe Lina</t>
  </si>
  <si>
    <t>LinZim</t>
  </si>
  <si>
    <t>Linus Zimmermann</t>
  </si>
  <si>
    <t>Linus</t>
  </si>
  <si>
    <t>Zimmermann</t>
  </si>
  <si>
    <t>078 867 76 93</t>
  </si>
  <si>
    <t>Flurstrasse 14, 8132 Egg b. Zürich</t>
  </si>
  <si>
    <t>linus.zimmermann@ksstadelhofen.ch</t>
  </si>
  <si>
    <t>CH82 0070 0110 0061 5281 5</t>
  </si>
  <si>
    <t>Lieber Linus</t>
  </si>
  <si>
    <t>LisAlb</t>
  </si>
  <si>
    <t>Lisa Alberini</t>
  </si>
  <si>
    <t>Lisa</t>
  </si>
  <si>
    <t>Alberini</t>
  </si>
  <si>
    <t>079 472 71 06</t>
  </si>
  <si>
    <t>Rekholterweg 14, 8708 Männedorf</t>
  </si>
  <si>
    <t>lisa.alberini@gmx.ch</t>
  </si>
  <si>
    <t>CH83 0020 2202 1244 6740 R</t>
  </si>
  <si>
    <t>Liebe Lisa</t>
  </si>
  <si>
    <t>LivBer</t>
  </si>
  <si>
    <t>Livia Bertschinger</t>
  </si>
  <si>
    <t>Livia</t>
  </si>
  <si>
    <t>Bertschinger</t>
  </si>
  <si>
    <t>076 465 65 52</t>
  </si>
  <si>
    <t>In der Fadmatt 29, 8902 Urdorf</t>
  </si>
  <si>
    <t>livia.bertschinger@gmx.ch</t>
  </si>
  <si>
    <t>CH40 0070 0350 0518 0845 2</t>
  </si>
  <si>
    <t>Liebe Livia</t>
  </si>
  <si>
    <t>LivKäs</t>
  </si>
  <si>
    <t>Livia Kästli</t>
  </si>
  <si>
    <t>Kästli</t>
  </si>
  <si>
    <t>077 436 65 36</t>
  </si>
  <si>
    <t>Spitalackerstrasse 16, 3013 Bern</t>
  </si>
  <si>
    <t>livia.kaestli@hotmail.com</t>
  </si>
  <si>
    <t>CH350023523569762040Q</t>
  </si>
  <si>
    <t>LivVui</t>
  </si>
  <si>
    <t>Livia Vuillemin</t>
  </si>
  <si>
    <t>Vuillemin</t>
  </si>
  <si>
    <t>079 918 90 20</t>
  </si>
  <si>
    <t>Bönistrasse 7, 8800 Thalwil</t>
  </si>
  <si>
    <t>livia.vuillemin@bluewin.ch</t>
  </si>
  <si>
    <t>CH6600700110004805676</t>
  </si>
  <si>
    <t xml:space="preserve">LorDi </t>
  </si>
  <si>
    <t>Loris Di Pietro</t>
  </si>
  <si>
    <t>Loris</t>
  </si>
  <si>
    <t>Di Pietro</t>
  </si>
  <si>
    <t>078 896 16 02</t>
  </si>
  <si>
    <t>Winterthurerstrasse 457, 8051 Zürich</t>
  </si>
  <si>
    <t>dipietro.loris@gmail.com</t>
  </si>
  <si>
    <t>CH44 0483 5263 2195 5000 0</t>
  </si>
  <si>
    <t>Lieber Loris</t>
  </si>
  <si>
    <t>LouSch</t>
  </si>
  <si>
    <t>Louis Schorno</t>
  </si>
  <si>
    <t>Louis</t>
  </si>
  <si>
    <t>Schorno</t>
  </si>
  <si>
    <t>079 589 05 06</t>
  </si>
  <si>
    <t>Feldstrasse 121, 8004 Zürich</t>
  </si>
  <si>
    <t>louis.schorno@gmail.com</t>
  </si>
  <si>
    <t>CH38 0070 0113 4000 4955 3</t>
  </si>
  <si>
    <t>Lieber Louis</t>
  </si>
  <si>
    <t>LovKüd</t>
  </si>
  <si>
    <t>Lovis Küderli</t>
  </si>
  <si>
    <t>Lovis</t>
  </si>
  <si>
    <t>Küderli</t>
  </si>
  <si>
    <t>076 470 30 75</t>
  </si>
  <si>
    <t>Schubertstrasse 15, 8037 Zürich</t>
  </si>
  <si>
    <t>lovisfides@gmail.com</t>
  </si>
  <si>
    <t>CH85 0070  0110 0072 1762 7</t>
  </si>
  <si>
    <t>Liebe Lovis</t>
  </si>
  <si>
    <t>LucBau</t>
  </si>
  <si>
    <t>Lucian Baumgartner</t>
  </si>
  <si>
    <t>Lucian</t>
  </si>
  <si>
    <t>Baumgartner</t>
  </si>
  <si>
    <t>079 956 09 22</t>
  </si>
  <si>
    <t>Grüentalstrasse 1a, 8820 Wädenswil</t>
  </si>
  <si>
    <t>lu.baumgartner@gmail.com</t>
  </si>
  <si>
    <t>CH04 0840 1016 2230 3500 2</t>
  </si>
  <si>
    <t>Lieber Lucian</t>
  </si>
  <si>
    <t>LucCla</t>
  </si>
  <si>
    <t>Lucas Clabbers</t>
  </si>
  <si>
    <t>Lucas</t>
  </si>
  <si>
    <t>Clabbers</t>
  </si>
  <si>
    <t>0031 620302436</t>
  </si>
  <si>
    <t>Graafschap 36, 8245 BS Lelystad</t>
  </si>
  <si>
    <t>clabb044@gmail.com</t>
  </si>
  <si>
    <t>NL85RABO0121479773</t>
  </si>
  <si>
    <t>Lieber Lucas</t>
  </si>
  <si>
    <t>LucMül</t>
  </si>
  <si>
    <t>Lucius Müller</t>
  </si>
  <si>
    <t>Lucius</t>
  </si>
  <si>
    <t>Müller</t>
  </si>
  <si>
    <t>079 649 84 92</t>
  </si>
  <si>
    <t>Klingelbergstrasse 55, 4056 Basel</t>
  </si>
  <si>
    <t>luciusmuller@gmail.com</t>
  </si>
  <si>
    <t>CH50 0077 0250 1544 7200 2</t>
  </si>
  <si>
    <t>Lieber Lucius</t>
  </si>
  <si>
    <t>LukBra</t>
  </si>
  <si>
    <t>Lukas Brand</t>
  </si>
  <si>
    <t>Lukas</t>
  </si>
  <si>
    <t>Brand</t>
  </si>
  <si>
    <t>077 408 90 29</t>
  </si>
  <si>
    <t>Balmholzweg 14a, 3145 Niederscherli</t>
  </si>
  <si>
    <t>lukas.brand@bluewin.ch</t>
  </si>
  <si>
    <t>CH70 0900 0000 3045 3950 4</t>
  </si>
  <si>
    <t>Lieber Lukas</t>
  </si>
  <si>
    <t>LukGri</t>
  </si>
  <si>
    <t>Lukas Grigis</t>
  </si>
  <si>
    <t>Grigis</t>
  </si>
  <si>
    <t>078 631 64 04</t>
  </si>
  <si>
    <t>Schönenbergstrasse 36, 8820 Wädenswil</t>
  </si>
  <si>
    <t>lukas.grigis@hotmail.com</t>
  </si>
  <si>
    <t>lukas.grigis@schneezueri.ch</t>
  </si>
  <si>
    <t>CH3000700110004729015</t>
  </si>
  <si>
    <t>LukIsl</t>
  </si>
  <si>
    <t>Lukas Isler</t>
  </si>
  <si>
    <t>Isler</t>
  </si>
  <si>
    <t>076 462 08 28</t>
  </si>
  <si>
    <t>Universitätsstrasse 120, 8006 Zürich</t>
  </si>
  <si>
    <t>lukas.isler@gmx.ch</t>
  </si>
  <si>
    <t>CH6400700114802887432</t>
  </si>
  <si>
    <t>LukLeu</t>
  </si>
  <si>
    <t>Lukas Leuenberger</t>
  </si>
  <si>
    <t>Leuenberger</t>
  </si>
  <si>
    <t>41786316404</t>
  </si>
  <si>
    <t>lukas.leuenberger@hotmail.com</t>
  </si>
  <si>
    <t>CH30 0070 0110 0047 2901 5</t>
  </si>
  <si>
    <t>Sehr geehrter Herr Leuenberger</t>
  </si>
  <si>
    <t>LukMei</t>
  </si>
  <si>
    <t>Lukas Meier</t>
  </si>
  <si>
    <t>077 453 80 30</t>
  </si>
  <si>
    <t>Bindliweg 7, 9107 Urnäsch</t>
  </si>
  <si>
    <t>lukas@meier-web.ch</t>
  </si>
  <si>
    <t>CH98 0900 0000 6188 5489 0</t>
  </si>
  <si>
    <t>LukWun</t>
  </si>
  <si>
    <t>Lukas Wunderlin</t>
  </si>
  <si>
    <t>Wunderlin</t>
  </si>
  <si>
    <t>079 728 94 03</t>
  </si>
  <si>
    <t>Geltenwilenstrasse 20, 9000 St. Gallen</t>
  </si>
  <si>
    <t>lwunderlin88@hotmail.com</t>
  </si>
  <si>
    <t>CH8409000000616909225</t>
  </si>
  <si>
    <t>MalKre</t>
  </si>
  <si>
    <t>Malik Krejci</t>
  </si>
  <si>
    <t>Malik</t>
  </si>
  <si>
    <t>Krejci</t>
  </si>
  <si>
    <t>078 949 91 06</t>
  </si>
  <si>
    <t>Unterer Rain 4, 8117 Fällanden</t>
  </si>
  <si>
    <t>malik.krejci@uzh.ch</t>
  </si>
  <si>
    <t>CH6700700110004186119</t>
  </si>
  <si>
    <t>Lieber Malik</t>
  </si>
  <si>
    <t>MarBät</t>
  </si>
  <si>
    <t>Marius Bättig</t>
  </si>
  <si>
    <t>Marius</t>
  </si>
  <si>
    <t>Bättig</t>
  </si>
  <si>
    <t>079 707 17 47</t>
  </si>
  <si>
    <t>Kalchweg 2, 5210 Windisch</t>
  </si>
  <si>
    <t>marius.baettig@gmail.com</t>
  </si>
  <si>
    <t>CH90 0021 0210 7102 6540 U</t>
  </si>
  <si>
    <t>Lieber Marius</t>
  </si>
  <si>
    <t>MarEss</t>
  </si>
  <si>
    <t>Marc Essig</t>
  </si>
  <si>
    <t>Marc</t>
  </si>
  <si>
    <t>Essig</t>
  </si>
  <si>
    <t>756.6271.8780.43</t>
  </si>
  <si>
    <t>079 518 63 33</t>
  </si>
  <si>
    <t>Hörnlistrasse 10, 8108 Dällikon</t>
  </si>
  <si>
    <t>marc.essig@gmx.ch</t>
  </si>
  <si>
    <t>CH88 0078 1185 5340 7840 4</t>
  </si>
  <si>
    <t>Lieber Marc</t>
  </si>
  <si>
    <t>MarFan</t>
  </si>
  <si>
    <t>Margrith Fankhauser</t>
  </si>
  <si>
    <t>Margrith</t>
  </si>
  <si>
    <t>Fankhauser</t>
  </si>
  <si>
    <t>044 251 97 37</t>
  </si>
  <si>
    <t>Sonneggstrasse 48, 8006 Zürich</t>
  </si>
  <si>
    <t>mfankhauser@gmx.ch</t>
  </si>
  <si>
    <t>CH28 0900 0000 1552 2457 1</t>
  </si>
  <si>
    <t>Liebe Margrith</t>
  </si>
  <si>
    <t>MarGas</t>
  </si>
  <si>
    <t>Marion Gasser</t>
  </si>
  <si>
    <t>Marion</t>
  </si>
  <si>
    <t>Gasser</t>
  </si>
  <si>
    <t>078 690 45 85</t>
  </si>
  <si>
    <t>2, Spissenrain, 6045 Meggen</t>
  </si>
  <si>
    <t>marion.gasser@students.unibe.ch</t>
  </si>
  <si>
    <t>CH42 0077 8156 5082 3200 2</t>
  </si>
  <si>
    <t>Liebe Marion</t>
  </si>
  <si>
    <t>MarKau</t>
  </si>
  <si>
    <t>Marc Kaufmann</t>
  </si>
  <si>
    <t>756.0364.5344.96</t>
  </si>
  <si>
    <t>079 362 02 82</t>
  </si>
  <si>
    <t>Zürcherstrasse 98c, 8953 Dietikon</t>
  </si>
  <si>
    <t>marc_kaufmann@gmx.ch</t>
  </si>
  <si>
    <t>CH7080808002543832283</t>
  </si>
  <si>
    <t>MarKru</t>
  </si>
  <si>
    <t>Marei Krug</t>
  </si>
  <si>
    <t>Marei</t>
  </si>
  <si>
    <t>Krug</t>
  </si>
  <si>
    <t>078 625 33 28</t>
  </si>
  <si>
    <t>Wagenbach 1, 8902 Urdorf</t>
  </si>
  <si>
    <t>mareikrug@gmail.com</t>
  </si>
  <si>
    <t>CH09 0900 0000 6071 6197 8</t>
  </si>
  <si>
    <t>Liebe Marei</t>
  </si>
  <si>
    <t>MarMar</t>
  </si>
  <si>
    <t>Martin Marino</t>
  </si>
  <si>
    <t>Martin</t>
  </si>
  <si>
    <t>076 571 08 19</t>
  </si>
  <si>
    <t>martinmarino@bluewin.ch</t>
  </si>
  <si>
    <t>CH49 0483 5055 5714 4000 2</t>
  </si>
  <si>
    <t>Lieber Martin</t>
  </si>
  <si>
    <t>MarMes</t>
  </si>
  <si>
    <t>Marc-Antonio Messmer</t>
  </si>
  <si>
    <t>Marc-Antonio</t>
  </si>
  <si>
    <t>Messmer</t>
  </si>
  <si>
    <t>079 919 85 90</t>
  </si>
  <si>
    <t>Hinterbergstrasse 73, 8044 Zürich</t>
  </si>
  <si>
    <t>marc-antonio@bluewin.ch</t>
  </si>
  <si>
    <t>CH5000700110005260991</t>
  </si>
  <si>
    <t>Lieber Marc-Antonio</t>
  </si>
  <si>
    <t>MarPas</t>
  </si>
  <si>
    <t>Marco Pasquillo</t>
  </si>
  <si>
    <t>Marco</t>
  </si>
  <si>
    <t>Pasquillo</t>
  </si>
  <si>
    <t>756.1542.1516.58</t>
  </si>
  <si>
    <t>7647484266</t>
  </si>
  <si>
    <t>Steinacherstrasse 16, 8804 Wädenswil</t>
  </si>
  <si>
    <t>m.pasquillo@gmail.com</t>
  </si>
  <si>
    <t>CH53 0682 4016 9374 7790 9</t>
  </si>
  <si>
    <t>Lieber Marco</t>
  </si>
  <si>
    <t>MarPri</t>
  </si>
  <si>
    <t>Marco Principato</t>
  </si>
  <si>
    <t>Principato</t>
  </si>
  <si>
    <t>078 823 23 14</t>
  </si>
  <si>
    <t>Eichgutstrasse 14, 8400 Winterthur</t>
  </si>
  <si>
    <t>marcoprinci@hotmail.com</t>
  </si>
  <si>
    <t>marco.principato@schneezueri.ch</t>
  </si>
  <si>
    <t>CH50 8148 5000 0070 2006 7</t>
  </si>
  <si>
    <t>MarSch</t>
  </si>
  <si>
    <t>Markus Schenardi</t>
  </si>
  <si>
    <t>Markus</t>
  </si>
  <si>
    <t>Schenardi</t>
  </si>
  <si>
    <t>756.9555.1171.35</t>
  </si>
  <si>
    <t>078 740 10 91</t>
  </si>
  <si>
    <t>Oerlikonerstrasse 65, 8057 Zürich</t>
  </si>
  <si>
    <t>markus.schenardi@outlook.com</t>
  </si>
  <si>
    <t>CH20 0900 0000 8565 0134 7</t>
  </si>
  <si>
    <t>Lieber Markus</t>
  </si>
  <si>
    <t>MarTai</t>
  </si>
  <si>
    <t>Martin Taimr</t>
  </si>
  <si>
    <t>Taimr</t>
  </si>
  <si>
    <t>076 701 26 64</t>
  </si>
  <si>
    <t>Waldeggstrasse 8, 8405 Winterthur</t>
  </si>
  <si>
    <t>martintaimr@gmail.com</t>
  </si>
  <si>
    <t>CH37 0839 0033 2670 1000 9</t>
  </si>
  <si>
    <t>MarTan</t>
  </si>
  <si>
    <t>Marcel Tanner</t>
  </si>
  <si>
    <t>Marcel</t>
  </si>
  <si>
    <t>Tanner</t>
  </si>
  <si>
    <t>079 195 09 27</t>
  </si>
  <si>
    <t>Landvogt-Waser-Strasse 33, 8405 Winterthur</t>
  </si>
  <si>
    <t>Marcel.Tanner@outlook.com</t>
  </si>
  <si>
    <t>marcel.tanner@schneezueri.ch</t>
  </si>
  <si>
    <t>CH11 0070 0113 2003 8242 6</t>
  </si>
  <si>
    <t>Lieber Marcel</t>
  </si>
  <si>
    <t>MarZur</t>
  </si>
  <si>
    <t>Marius Zurkinden</t>
  </si>
  <si>
    <t>Zurkinden</t>
  </si>
  <si>
    <t>756.7827.7808.27</t>
  </si>
  <si>
    <t>077 431 39 82</t>
  </si>
  <si>
    <t>Birkenweg 6, 8956 Killwangen</t>
  </si>
  <si>
    <t>mariuszurkinden@gmail.com</t>
  </si>
  <si>
    <t>CH23 8080 8002 2460 3876 4</t>
  </si>
  <si>
    <t>MarZür</t>
  </si>
  <si>
    <t>Marius Zürcher</t>
  </si>
  <si>
    <t>079 518 18 05</t>
  </si>
  <si>
    <t>Haldenstrasse 63, 8602 Wangen</t>
  </si>
  <si>
    <t>zuercherm@yahoo.de</t>
  </si>
  <si>
    <t>marius.zuercher@schneezueri.ch</t>
  </si>
  <si>
    <t>CH73 0070 0110 8000 2590 6</t>
  </si>
  <si>
    <t>MatHan</t>
  </si>
  <si>
    <t>Matthias Handke</t>
  </si>
  <si>
    <t>Matthias</t>
  </si>
  <si>
    <t>Handke</t>
  </si>
  <si>
    <t>079 721 23 16</t>
  </si>
  <si>
    <t>Schützenstrasse 62, 8400 Winterthur</t>
  </si>
  <si>
    <t>thiser@gmail.com</t>
  </si>
  <si>
    <t>Ch44 0025 0250 4980 1140 c</t>
  </si>
  <si>
    <t>Lieber Matthias</t>
  </si>
  <si>
    <t>MatSch</t>
  </si>
  <si>
    <t>Matthes Schaller</t>
  </si>
  <si>
    <t>Matthes</t>
  </si>
  <si>
    <t>Schaller</t>
  </si>
  <si>
    <t>Seefeld</t>
  </si>
  <si>
    <t>+41 79 272 26 72</t>
  </si>
  <si>
    <t>Heimatstrasse 9, 8008 Zürich</t>
  </si>
  <si>
    <t>matthes.schaller@gmx.ch</t>
  </si>
  <si>
    <t>CH4400700112600092482</t>
  </si>
  <si>
    <t>Lieber Matthes</t>
  </si>
  <si>
    <t>MatZüg</t>
  </si>
  <si>
    <t>Matthias Züger</t>
  </si>
  <si>
    <t>Züger</t>
  </si>
  <si>
    <t>756.0949.7434.35</t>
  </si>
  <si>
    <t>079 703 20 62</t>
  </si>
  <si>
    <t>Lilienthalstrasse 1, 9015 St. Gallen</t>
  </si>
  <si>
    <t>matthias.zueger@gmail.com</t>
  </si>
  <si>
    <t>CH0980808008016723440</t>
  </si>
  <si>
    <t>MaxVer</t>
  </si>
  <si>
    <t>Max Vernier</t>
  </si>
  <si>
    <t>Max</t>
  </si>
  <si>
    <t>Vernier</t>
  </si>
  <si>
    <t>077 520 31 66</t>
  </si>
  <si>
    <t>Zurlindenstrasse 232, 8003 Zürich</t>
  </si>
  <si>
    <t>maxvernier@gmx.ch</t>
  </si>
  <si>
    <t>87007001114802785362</t>
  </si>
  <si>
    <t>Lieber Max</t>
  </si>
  <si>
    <t>MehZen</t>
  </si>
  <si>
    <t>Mehmet Zencirkiran</t>
  </si>
  <si>
    <t>Mehmet</t>
  </si>
  <si>
    <t>Zencirkiran</t>
  </si>
  <si>
    <t>079 245 64 89</t>
  </si>
  <si>
    <t>Solothurnstr 95, 2540 Grenchen</t>
  </si>
  <si>
    <t>memo90@gmx.ch</t>
  </si>
  <si>
    <t>CH73 8097 6000 0044 9604 0</t>
  </si>
  <si>
    <t>Lieber Mehmet</t>
  </si>
  <si>
    <t>MelEpp</t>
  </si>
  <si>
    <t>Melissa Epprecht</t>
  </si>
  <si>
    <t>Melissa</t>
  </si>
  <si>
    <t>Epprecht</t>
  </si>
  <si>
    <t>756.9741.0463.31</t>
  </si>
  <si>
    <t>078 928 40 27</t>
  </si>
  <si>
    <t>Ballenbühlweg 34, 3076 Worb</t>
  </si>
  <si>
    <t>melissaepprecht6@gmail.com</t>
  </si>
  <si>
    <t>CH34 0900 0000 3148 7142 8</t>
  </si>
  <si>
    <t>Liebe Melissa</t>
  </si>
  <si>
    <t>MelKun</t>
  </si>
  <si>
    <t>Melanie Kunz</t>
  </si>
  <si>
    <t>Melanie</t>
  </si>
  <si>
    <t>Kunz</t>
  </si>
  <si>
    <t>076 490 82 02</t>
  </si>
  <si>
    <t>Höhenstrasse 21, 6015 Luzern</t>
  </si>
  <si>
    <t>kunzmelanie@bluewin.ch</t>
  </si>
  <si>
    <t>CH85 8080 8008 1637 3381 7</t>
  </si>
  <si>
    <t>Liebe Melanie</t>
  </si>
  <si>
    <t>MiaHid</t>
  </si>
  <si>
    <t>Mia Hidber</t>
  </si>
  <si>
    <t>Mia</t>
  </si>
  <si>
    <t>Hidber</t>
  </si>
  <si>
    <t>078 866 65 30</t>
  </si>
  <si>
    <t>Karlstrasse 1, 8008 Zürich</t>
  </si>
  <si>
    <t>mia.hidber@gmail.com</t>
  </si>
  <si>
    <t>CH5300700110005611689</t>
  </si>
  <si>
    <t>Liebe Mia</t>
  </si>
  <si>
    <t>MicBau</t>
  </si>
  <si>
    <t>Michelle Bauert</t>
  </si>
  <si>
    <t>Michelle</t>
  </si>
  <si>
    <t>Bauert</t>
  </si>
  <si>
    <t>079 588 82 27</t>
  </si>
  <si>
    <t>Seefeldstrasse 118, 8008 Zürich</t>
  </si>
  <si>
    <t>michellebauert@bluewin.ch</t>
  </si>
  <si>
    <t>CH400025925980887240F</t>
  </si>
  <si>
    <t>Liebe Michelle</t>
  </si>
  <si>
    <t>MicErb</t>
  </si>
  <si>
    <t>Michael Erb</t>
  </si>
  <si>
    <t>Michael</t>
  </si>
  <si>
    <t>Erb</t>
  </si>
  <si>
    <t>Lavater</t>
  </si>
  <si>
    <t>078 761 99 63</t>
  </si>
  <si>
    <t>Fuhrstr. 17, 8135 Langnau am Albis</t>
  </si>
  <si>
    <t>michael.erb@schulen.zuerich.ch</t>
  </si>
  <si>
    <t>ch8408440677684300010</t>
  </si>
  <si>
    <t>Lieber Michael</t>
  </si>
  <si>
    <t>MicHub</t>
  </si>
  <si>
    <t>Michael Huber</t>
  </si>
  <si>
    <t>Huber</t>
  </si>
  <si>
    <t>079 232 51 05</t>
  </si>
  <si>
    <t>kronengasse 8, 5000 aarau</t>
  </si>
  <si>
    <t>michael@hubermichael.com</t>
  </si>
  <si>
    <t>ch34 0839 0033 9590 1000 3</t>
  </si>
  <si>
    <t>MicMei</t>
  </si>
  <si>
    <t>Michael Meile</t>
  </si>
  <si>
    <t>Meile</t>
  </si>
  <si>
    <t>077 444 31 22</t>
  </si>
  <si>
    <t>Wuhaldenstrasse 24b, 8608 Bubikon</t>
  </si>
  <si>
    <t>m_meile@gmx.net</t>
  </si>
  <si>
    <t>Sehr geehrter Herr Meile</t>
  </si>
  <si>
    <t>MicRod</t>
  </si>
  <si>
    <t>Michel Rodrigues</t>
  </si>
  <si>
    <t>Michel</t>
  </si>
  <si>
    <t>078 789 87 37</t>
  </si>
  <si>
    <t>Awandelweg 10, 8606 Greifensee</t>
  </si>
  <si>
    <t>michel_rodrigues@hotmail.com</t>
  </si>
  <si>
    <t>CH19 0900 0000 8722 4359 2</t>
  </si>
  <si>
    <t>Lieber Michel</t>
  </si>
  <si>
    <t>MicSag</t>
  </si>
  <si>
    <t>Micha Sager</t>
  </si>
  <si>
    <t>Micha</t>
  </si>
  <si>
    <t>Sager</t>
  </si>
  <si>
    <t>Oelbergstrasse 20, 5737 Menziken</t>
  </si>
  <si>
    <t>micha_sager@hotmail.com</t>
  </si>
  <si>
    <t>Lieber Micha</t>
  </si>
  <si>
    <t>MicSch</t>
  </si>
  <si>
    <t>Michelle Schnider</t>
  </si>
  <si>
    <t>Schnider</t>
  </si>
  <si>
    <t>079 952 86 60</t>
  </si>
  <si>
    <t>Gubelhangstrasse 22, 8050 Zürich</t>
  </si>
  <si>
    <t>michelle.schnider@uzh.ch</t>
  </si>
  <si>
    <t>CH48 0025 4254 1371 7640 R</t>
  </si>
  <si>
    <t>MicSti</t>
  </si>
  <si>
    <t>Michel Stiegler</t>
  </si>
  <si>
    <t>Stiegler</t>
  </si>
  <si>
    <t>079 433 14 88</t>
  </si>
  <si>
    <t>Frutigenstrassae 41b, 3600 Thun</t>
  </si>
  <si>
    <t>michelstiegler@hotmail.com</t>
  </si>
  <si>
    <t>CH20 0870 4019 1488 8614 5</t>
  </si>
  <si>
    <t>MicWer</t>
  </si>
  <si>
    <t>Michael Werren</t>
  </si>
  <si>
    <t>Werren</t>
  </si>
  <si>
    <t>079 567 78 77</t>
  </si>
  <si>
    <t>Heimatstrasse 5, 8645 Jona</t>
  </si>
  <si>
    <t>michael.werren@gmail.com</t>
  </si>
  <si>
    <t>ch66 0900 0000 3032 0146 1</t>
  </si>
  <si>
    <t>MicZei</t>
  </si>
  <si>
    <t>Michi Zeiher</t>
  </si>
  <si>
    <t>Michi</t>
  </si>
  <si>
    <t>Zeiher</t>
  </si>
  <si>
    <t>079 777 30 00</t>
  </si>
  <si>
    <t>Bickelstrasse 17, 8942 Oberrieden</t>
  </si>
  <si>
    <t>michi.zeiher@gmx.ch</t>
  </si>
  <si>
    <t>CH68 0070 0110 0006 2232 1</t>
  </si>
  <si>
    <t>Lieber Michi</t>
  </si>
  <si>
    <t>MisBrü</t>
  </si>
  <si>
    <t>Mischa Brüschweiler</t>
  </si>
  <si>
    <t>Mischa</t>
  </si>
  <si>
    <t>Brüschweiler</t>
  </si>
  <si>
    <t>078 609 40 11</t>
  </si>
  <si>
    <t>Im Laubegg, 8045 Zürich</t>
  </si>
  <si>
    <t>mischa_brueschi@hotmail.com</t>
  </si>
  <si>
    <t>CH31 0900 0000 8713 2721 1</t>
  </si>
  <si>
    <t>Lieber Mischa</t>
  </si>
  <si>
    <t>MorGro</t>
  </si>
  <si>
    <t>Moritz Grossenbacher</t>
  </si>
  <si>
    <t>Moritz</t>
  </si>
  <si>
    <t>Grossenbacher</t>
  </si>
  <si>
    <t>077 421 23 82</t>
  </si>
  <si>
    <t>Könizstrasse 238, 3097 Liebefeld</t>
  </si>
  <si>
    <t>mo.gbacher@students.unibe.ch</t>
  </si>
  <si>
    <t>CH83 0900 0000 3026 0557 5</t>
  </si>
  <si>
    <t>Lieber Moritz</t>
  </si>
  <si>
    <t>NadPfi</t>
  </si>
  <si>
    <t>Nadja Pfister</t>
  </si>
  <si>
    <t>Nadja</t>
  </si>
  <si>
    <t>Pfister</t>
  </si>
  <si>
    <t>078 659 52 32</t>
  </si>
  <si>
    <t>Eigerweg 6, 3123 Belp</t>
  </si>
  <si>
    <t>pfister.nadja@belponline.ch</t>
  </si>
  <si>
    <t>Liebe Nadja</t>
  </si>
  <si>
    <t>NatBau</t>
  </si>
  <si>
    <t>Nathalie Baumann</t>
  </si>
  <si>
    <t>Nathalie</t>
  </si>
  <si>
    <t>Baumann</t>
  </si>
  <si>
    <t>079 686 05 69</t>
  </si>
  <si>
    <t>Langstrasse 134, 8004 Zürich</t>
  </si>
  <si>
    <t>nathalie.baumann@bluewin.ch</t>
  </si>
  <si>
    <t>CH5900700113200068349</t>
  </si>
  <si>
    <t>Liebe Nathalie</t>
  </si>
  <si>
    <t>NicAlt</t>
  </si>
  <si>
    <t>Nico Alther</t>
  </si>
  <si>
    <t>Nico</t>
  </si>
  <si>
    <t>Alther</t>
  </si>
  <si>
    <t>756.8555.0453.87</t>
  </si>
  <si>
    <t>079 943 70 01</t>
  </si>
  <si>
    <t>Haldenweg 7, 8634 Hombrechtikon</t>
  </si>
  <si>
    <t>nico.alther.02@gmail.com</t>
  </si>
  <si>
    <t>CH38 0070 0110 0070 6143 0</t>
  </si>
  <si>
    <t>Lieber Nico</t>
  </si>
  <si>
    <t>NicDon</t>
  </si>
  <si>
    <t>Nico Donatsch</t>
  </si>
  <si>
    <t>Donatsch</t>
  </si>
  <si>
    <t>079 353 38 97</t>
  </si>
  <si>
    <t>Törliweg 3, 7208 Malans</t>
  </si>
  <si>
    <t>nico.donatsch@gmail.com</t>
  </si>
  <si>
    <t>CH46 0077 4000 1053 3610 0</t>
  </si>
  <si>
    <t>NicSch</t>
  </si>
  <si>
    <t>Nicolas Schedler</t>
  </si>
  <si>
    <t>Nicolas</t>
  </si>
  <si>
    <t>Schedler</t>
  </si>
  <si>
    <t>079 645 62 31</t>
  </si>
  <si>
    <t>Haldenstrasse 12, 8302 Kloten</t>
  </si>
  <si>
    <t>nicolasschedler@bluewin.ch</t>
  </si>
  <si>
    <t>CH7900700110002422346</t>
  </si>
  <si>
    <t>Lieber Nicolas</t>
  </si>
  <si>
    <t>NikLag</t>
  </si>
  <si>
    <t>Niklas Lagerbäck</t>
  </si>
  <si>
    <t>Niklas</t>
  </si>
  <si>
    <t>Lagerbäck</t>
  </si>
  <si>
    <t>078 403 58 25</t>
  </si>
  <si>
    <t>Streulistrasse 32, 8032 Zürich</t>
  </si>
  <si>
    <t>niklas.lagerback@icloud.com</t>
  </si>
  <si>
    <t>CH140025125110822040K</t>
  </si>
  <si>
    <t>Lieber Niklas</t>
  </si>
  <si>
    <t>NikWeg</t>
  </si>
  <si>
    <t>Nik Wegmüller</t>
  </si>
  <si>
    <t>Nik</t>
  </si>
  <si>
    <t>Wegmüller</t>
  </si>
  <si>
    <t>079 392 66 36</t>
  </si>
  <si>
    <t>Rütenenstrasse 22, 8956 Killwangen</t>
  </si>
  <si>
    <t>nik.wegmueller@gmail.com</t>
  </si>
  <si>
    <t>CH04 0588 1154 7360 7000 0</t>
  </si>
  <si>
    <t>Lieber Nik</t>
  </si>
  <si>
    <t>NinJan</t>
  </si>
  <si>
    <t>Nina Jansen</t>
  </si>
  <si>
    <t>Nina</t>
  </si>
  <si>
    <t>Jansen</t>
  </si>
  <si>
    <t>078 625 00 20</t>
  </si>
  <si>
    <t>Breitestrasse 31, 8400 Winterthur</t>
  </si>
  <si>
    <t>nina.jansen@gmx.ch</t>
  </si>
  <si>
    <t>CH2708401000055017940</t>
  </si>
  <si>
    <t>Liebe Nina</t>
  </si>
  <si>
    <t>NisKot</t>
  </si>
  <si>
    <t>Nishan Kotuwattegedera</t>
  </si>
  <si>
    <t>Nishan</t>
  </si>
  <si>
    <t>Kotuwattegedera</t>
  </si>
  <si>
    <t>079 554 28 14</t>
  </si>
  <si>
    <t>Spitzstrasse 18, 8155 Niederhasli</t>
  </si>
  <si>
    <t>b2gogaming@gmail.com</t>
  </si>
  <si>
    <t>CH16 0070 0110 0030 6862 7</t>
  </si>
  <si>
    <t>Lieber Nishan</t>
  </si>
  <si>
    <t>NoaSut</t>
  </si>
  <si>
    <t>Noa Sutter</t>
  </si>
  <si>
    <t>Noa</t>
  </si>
  <si>
    <t>756.1011.3581.68</t>
  </si>
  <si>
    <t>078 842 58 14</t>
  </si>
  <si>
    <t>Steinradstrasse 17a, 8704 Herrliberg</t>
  </si>
  <si>
    <t>noasutter10@gmail.com</t>
  </si>
  <si>
    <t>CH83 0070 0110 0061 9732 0</t>
  </si>
  <si>
    <t>Lieber Noa</t>
  </si>
  <si>
    <t>NoeArs</t>
  </si>
  <si>
    <t>Noel Arsenault</t>
  </si>
  <si>
    <t>Noel</t>
  </si>
  <si>
    <t>Arsenault</t>
  </si>
  <si>
    <t>077 445 80 09</t>
  </si>
  <si>
    <t>Kieselgasse 7, 8008 Zürich</t>
  </si>
  <si>
    <t>noel.arsenault@gmx.ch</t>
  </si>
  <si>
    <t>CH48 0900 0000 8725 9809 0</t>
  </si>
  <si>
    <t>Lieber Noel</t>
  </si>
  <si>
    <t>NoéHei</t>
  </si>
  <si>
    <t>Noé Heim</t>
  </si>
  <si>
    <t>Noé</t>
  </si>
  <si>
    <t>Heim</t>
  </si>
  <si>
    <t>078 949 12 96</t>
  </si>
  <si>
    <t>Albisriederplatz 1, 8003 Zürich</t>
  </si>
  <si>
    <t>heim.noe96@gmail.com</t>
  </si>
  <si>
    <t>CH06 0070 0110 0053 3259 3</t>
  </si>
  <si>
    <t>Lieber Noé</t>
  </si>
  <si>
    <t>NoëRai</t>
  </si>
  <si>
    <t>Noëlle Raisic</t>
  </si>
  <si>
    <t>Noëlle</t>
  </si>
  <si>
    <t>Raisic</t>
  </si>
  <si>
    <t>079 465 26 10</t>
  </si>
  <si>
    <t>Sempacherstrasse 75, 8032 Zürich</t>
  </si>
  <si>
    <t>raisicnoelle@gmail.com</t>
  </si>
  <si>
    <t>CH3700700114803381842</t>
  </si>
  <si>
    <t>Liebe Noëlle</t>
  </si>
  <si>
    <t>NoeWil</t>
  </si>
  <si>
    <t>Noemi Willmann</t>
  </si>
  <si>
    <t>Noemi</t>
  </si>
  <si>
    <t>Willmann</t>
  </si>
  <si>
    <t>756.0773.8247.82</t>
  </si>
  <si>
    <t>079 904 33 04</t>
  </si>
  <si>
    <t>Bündtenstrasse 27, 5417 Untersiggenthal</t>
  </si>
  <si>
    <t>n.willmann@hispeed.ch</t>
  </si>
  <si>
    <t>Ch4100761063532542001</t>
  </si>
  <si>
    <t>Liebe Noemi</t>
  </si>
  <si>
    <t>NorBat</t>
  </si>
  <si>
    <t>Nora Bataillard</t>
  </si>
  <si>
    <t>Nora</t>
  </si>
  <si>
    <t>Bataillard</t>
  </si>
  <si>
    <t>078 614 78 02</t>
  </si>
  <si>
    <t>Zeughausstrasse 61, 8004 Zürich</t>
  </si>
  <si>
    <t>nora.bataillard@gmx.ch</t>
  </si>
  <si>
    <t>CH75 0070 0110 0028 8666 0</t>
  </si>
  <si>
    <t>Liebe Nora</t>
  </si>
  <si>
    <t>NorFlu</t>
  </si>
  <si>
    <t>Nora Flury</t>
  </si>
  <si>
    <t>Flury</t>
  </si>
  <si>
    <t xml:space="preserve">079 283 26 37 </t>
  </si>
  <si>
    <t>Gladbachstrasse 96, 8044 Zürich</t>
  </si>
  <si>
    <t>nora.flury@schulen.zuerich.ch</t>
  </si>
  <si>
    <t>CH27 8080 8004 1562 3272 6</t>
  </si>
  <si>
    <t>OliBen</t>
  </si>
  <si>
    <t>Oliver Benz</t>
  </si>
  <si>
    <t>Oliver</t>
  </si>
  <si>
    <t>Benz</t>
  </si>
  <si>
    <t>Buhn</t>
  </si>
  <si>
    <t>076 543 41 66</t>
  </si>
  <si>
    <t>Schwandenholzstrasse 210, 8046 Zürich</t>
  </si>
  <si>
    <t>oliver.benz@schulen.zuerich.ch</t>
  </si>
  <si>
    <t>Lieber Oliver</t>
  </si>
  <si>
    <t>OliGra</t>
  </si>
  <si>
    <t>Olivia Graeser</t>
  </si>
  <si>
    <t>Olivia</t>
  </si>
  <si>
    <t>Graeser</t>
  </si>
  <si>
    <t>079 521 47 24</t>
  </si>
  <si>
    <t>Aeusserer Sonnenweg 5, 9000 St. Gallen</t>
  </si>
  <si>
    <t>olivia.graeser@bluewin.ch</t>
  </si>
  <si>
    <t>CH71 8080 8007 2058 4364 6</t>
  </si>
  <si>
    <t>Liebe Olivia</t>
  </si>
  <si>
    <t>OliGrü</t>
  </si>
  <si>
    <t>Oliver Grübner</t>
  </si>
  <si>
    <t>Grübner</t>
  </si>
  <si>
    <t>756.1774.9880.60</t>
  </si>
  <si>
    <t>077 816 47 01</t>
  </si>
  <si>
    <t>Limmatfeldstr. 8, 8953 Dietikon</t>
  </si>
  <si>
    <t>oliver.gruebner@icloud.com</t>
  </si>
  <si>
    <t>CH7808401000061692271</t>
  </si>
  <si>
    <t>Olivon</t>
  </si>
  <si>
    <t>Olivia von Niederhäusern</t>
  </si>
  <si>
    <t>079 730 31 16</t>
  </si>
  <si>
    <t>Rautistrasse 138, 8048 Zürich</t>
  </si>
  <si>
    <t>oli.v.n@bluewin.ch</t>
  </si>
  <si>
    <t>CH89 0840 1016 1891 2120 5</t>
  </si>
  <si>
    <t>OliWid</t>
  </si>
  <si>
    <t>Oliver Widmer</t>
  </si>
  <si>
    <t>Widmer</t>
  </si>
  <si>
    <t>076 548 90 21</t>
  </si>
  <si>
    <t>Mühlackerstrasse 110, 8046 Zürich</t>
  </si>
  <si>
    <t>oliver.widmer94@gmail.com</t>
  </si>
  <si>
    <t>CH96 0070 0110 0013 6221 8</t>
  </si>
  <si>
    <t>PasMei</t>
  </si>
  <si>
    <t>Pascal Meier</t>
  </si>
  <si>
    <t>Pascal</t>
  </si>
  <si>
    <t>076 512 38 00</t>
  </si>
  <si>
    <t>Dorfstrasse 90, 8957 Spreitenbach</t>
  </si>
  <si>
    <t>pasci_mei@hotmail.com</t>
  </si>
  <si>
    <t>CH30 0022 3223 1126 5540 L</t>
  </si>
  <si>
    <t>Lieber Pascal</t>
  </si>
  <si>
    <t>PasMen</t>
  </si>
  <si>
    <t>Pascal Menzi</t>
  </si>
  <si>
    <t>Menzi</t>
  </si>
  <si>
    <t>079 791 34 86</t>
  </si>
  <si>
    <t>, 8005 Zürich</t>
  </si>
  <si>
    <t>pascal.menzi@ch.abb.com</t>
  </si>
  <si>
    <t>CH84 0900 0000 8727 0763 4</t>
  </si>
  <si>
    <t>PatDre</t>
  </si>
  <si>
    <t>Patrizia Dreyer</t>
  </si>
  <si>
    <t>Patrizia</t>
  </si>
  <si>
    <t>076 402 36 99</t>
  </si>
  <si>
    <t>Spitalstrasse 31/20, 8952 Schlieren</t>
  </si>
  <si>
    <t>titz@gmx.ch</t>
  </si>
  <si>
    <t>CH11 0070 0110 9000 2888 1</t>
  </si>
  <si>
    <t>Liebe Patrizia</t>
  </si>
  <si>
    <t>PatFra</t>
  </si>
  <si>
    <t>Patrick Frank</t>
  </si>
  <si>
    <t>Patrick</t>
  </si>
  <si>
    <t>079 688 27 45</t>
  </si>
  <si>
    <t>Magnolienstr 5, 8008 Zürich</t>
  </si>
  <si>
    <t>patrickfrank8704@hotmail.com</t>
  </si>
  <si>
    <t>CH3609000000870915744</t>
  </si>
  <si>
    <t>Lieber Patrick</t>
  </si>
  <si>
    <t>PatGri</t>
  </si>
  <si>
    <t>Patrick Griessen</t>
  </si>
  <si>
    <t>Griessen</t>
  </si>
  <si>
    <t>079 847 83 35</t>
  </si>
  <si>
    <t>Dorfbachstrasse 26, 3098 Köniz</t>
  </si>
  <si>
    <t>patrick.y@bluewin.ch</t>
  </si>
  <si>
    <t>CH04 0900 00008908 4157 5</t>
  </si>
  <si>
    <t>PatSch</t>
  </si>
  <si>
    <t>Patrick Schätti</t>
  </si>
  <si>
    <t>Schätti</t>
  </si>
  <si>
    <t>079 539 79 99</t>
  </si>
  <si>
    <t>Weidstrasse 2, 8363 Bichelsee</t>
  </si>
  <si>
    <t>schaetti@bluewin.ch</t>
  </si>
  <si>
    <t>CH6580808006980690361</t>
  </si>
  <si>
    <t>PatStu</t>
  </si>
  <si>
    <t>Patrizia Studer</t>
  </si>
  <si>
    <t>Studer</t>
  </si>
  <si>
    <t>756.9209.4058.61</t>
  </si>
  <si>
    <t>079 961 50 41</t>
  </si>
  <si>
    <t>St. Jakobstrasse 52, 8004 Zürich</t>
  </si>
  <si>
    <t>patriziastuder@icloud.com</t>
  </si>
  <si>
    <t>CH7609000000404823234</t>
  </si>
  <si>
    <t>PauJud</t>
  </si>
  <si>
    <t>Paul Jud</t>
  </si>
  <si>
    <t>Paul</t>
  </si>
  <si>
    <t>Jud</t>
  </si>
  <si>
    <t>756.6296.4819.69</t>
  </si>
  <si>
    <t>079 201 56 85</t>
  </si>
  <si>
    <t>Dorngasse 34, 8967 Widen</t>
  </si>
  <si>
    <t>monza@swissonline.ch</t>
  </si>
  <si>
    <t>CH28 0020 6206 P010 3108 0</t>
  </si>
  <si>
    <t>Lieber Paul</t>
  </si>
  <si>
    <t>PetNau</t>
  </si>
  <si>
    <t>Peter Nauer</t>
  </si>
  <si>
    <t>Peter</t>
  </si>
  <si>
    <t>Nauer</t>
  </si>
  <si>
    <t>756.4507.3546.06</t>
  </si>
  <si>
    <t>076 260 00 10</t>
  </si>
  <si>
    <t>unterpuntstrasse 3, 8636 wald</t>
  </si>
  <si>
    <t>pue_n@sunrise.ch</t>
  </si>
  <si>
    <t>CH97 0900 0000 1561 5103 7</t>
  </si>
  <si>
    <t>Lieber Peter</t>
  </si>
  <si>
    <t>PhiMan</t>
  </si>
  <si>
    <t>Philipp Manser</t>
  </si>
  <si>
    <t>Philipp</t>
  </si>
  <si>
    <t>Manser</t>
  </si>
  <si>
    <t>078 739 63 23</t>
  </si>
  <si>
    <t>St. Gallerstrasse 15, 9402 Mörschwil</t>
  </si>
  <si>
    <t>philippmanser@yahoo.de</t>
  </si>
  <si>
    <t>CH8580005000077102217</t>
  </si>
  <si>
    <t>Lieber Philipp</t>
  </si>
  <si>
    <t>RalEgg</t>
  </si>
  <si>
    <t>Ralph Eggenberg</t>
  </si>
  <si>
    <t>Ralph</t>
  </si>
  <si>
    <t>Eggenberg</t>
  </si>
  <si>
    <t>078 659 38 64</t>
  </si>
  <si>
    <t>Hauptstrasse, 25, 5506 Mägenwil</t>
  </si>
  <si>
    <t>ralph.eggenberg@outlook.com</t>
  </si>
  <si>
    <t>CH73 80808007224342577</t>
  </si>
  <si>
    <t>Lieber Ralph</t>
  </si>
  <si>
    <t>RalKön</t>
  </si>
  <si>
    <t>Ralph König</t>
  </si>
  <si>
    <t>Sportamt der Stadt Zürich</t>
  </si>
  <si>
    <t>RapNuf</t>
  </si>
  <si>
    <t>Raphael Nufer</t>
  </si>
  <si>
    <t>Raphael</t>
  </si>
  <si>
    <t>Nufer</t>
  </si>
  <si>
    <t>Bärenweidstrasse 10, 8833 Samstagern</t>
  </si>
  <si>
    <t>raphinufer@gmail.com</t>
  </si>
  <si>
    <t>CH2404835051262230002</t>
  </si>
  <si>
    <t>Lieber Raphael</t>
  </si>
  <si>
    <t>RebBis</t>
  </si>
  <si>
    <t>Rebekka Bischof</t>
  </si>
  <si>
    <t>Rebekka</t>
  </si>
  <si>
    <t>Bischof</t>
  </si>
  <si>
    <t>079 471 97 39</t>
  </si>
  <si>
    <t>Milchbuckstrasse 15, 8057 Zürich</t>
  </si>
  <si>
    <t>rebekka.bischof@hotmail.com</t>
  </si>
  <si>
    <t>CH16 0070 0110 0035 0580 6</t>
  </si>
  <si>
    <t>Liebe Rebekka</t>
  </si>
  <si>
    <t>RegBer</t>
  </si>
  <si>
    <t>Regula Bernays</t>
  </si>
  <si>
    <t>Regula</t>
  </si>
  <si>
    <t>Bernays</t>
  </si>
  <si>
    <t>079 778 12 44</t>
  </si>
  <si>
    <t>Thujastrasse 42, 8038 Zürich</t>
  </si>
  <si>
    <t>regula.bernays@schulen.zuerich.ch</t>
  </si>
  <si>
    <t>CH98 0070 0111 4000 1003 2</t>
  </si>
  <si>
    <t>Liebe Regula</t>
  </si>
  <si>
    <t>RemLep</t>
  </si>
  <si>
    <t>Remo Lepori</t>
  </si>
  <si>
    <t>Remo</t>
  </si>
  <si>
    <t>Lepori</t>
  </si>
  <si>
    <t>076 200 71 14</t>
  </si>
  <si>
    <t>Kolibriweg 2, 8048 Zürich</t>
  </si>
  <si>
    <t>remo.lepori@gmail.com</t>
  </si>
  <si>
    <t>CH96 0070 0110 0050 3725 7</t>
  </si>
  <si>
    <t>Lieber Remo</t>
  </si>
  <si>
    <t>ResDer</t>
  </si>
  <si>
    <t>Rest Giacun Dermont</t>
  </si>
  <si>
    <t>Rest Giacun</t>
  </si>
  <si>
    <t>Dermont</t>
  </si>
  <si>
    <t>756.2385.6217.66</t>
  </si>
  <si>
    <t>078 639 71 05</t>
  </si>
  <si>
    <t>Rötelstrasse 3, 8006 Zürich</t>
  </si>
  <si>
    <t>restgiacun.dermont@schulen.zuerich.ch</t>
  </si>
  <si>
    <t>CH4808401000065970608</t>
  </si>
  <si>
    <t>Lieber Rest Giacun</t>
  </si>
  <si>
    <t>RetStr</t>
  </si>
  <si>
    <t>Reto Strassen</t>
  </si>
  <si>
    <t>Reto</t>
  </si>
  <si>
    <t>Strassen</t>
  </si>
  <si>
    <t>Abrechnungen</t>
  </si>
  <si>
    <t>079 366 36 66</t>
  </si>
  <si>
    <t>Glärnischstrasse 143, 8708 Männedorf</t>
  </si>
  <si>
    <t>reto.strassen@schneezueri.ch</t>
  </si>
  <si>
    <t>Lieber Reto</t>
  </si>
  <si>
    <t>RobGry</t>
  </si>
  <si>
    <t>Robin Grylka</t>
  </si>
  <si>
    <t>Robin</t>
  </si>
  <si>
    <t>Grylka</t>
  </si>
  <si>
    <t>079 282 45 46</t>
  </si>
  <si>
    <t>Allmenstrasse 3, 5400 Baden</t>
  </si>
  <si>
    <t>robingrylka@gmail.com</t>
  </si>
  <si>
    <t>CH94 0900 000 4517 0174 9</t>
  </si>
  <si>
    <t>Lieber Robin</t>
  </si>
  <si>
    <t>RobMey</t>
  </si>
  <si>
    <t>Roberta Meyer</t>
  </si>
  <si>
    <t>Roberta</t>
  </si>
  <si>
    <t>Meyer</t>
  </si>
  <si>
    <t>076 422 39 02</t>
  </si>
  <si>
    <t>Birkenweg 6, 4528 Zuchwil</t>
  </si>
  <si>
    <t>romy_meyer@bluewin.ch</t>
  </si>
  <si>
    <t>CH36 0023 5235 1697 9740 Y</t>
  </si>
  <si>
    <t>Liebe Roberta</t>
  </si>
  <si>
    <t>RobVog</t>
  </si>
  <si>
    <t>Robin Vogel</t>
  </si>
  <si>
    <t>Vogel</t>
  </si>
  <si>
    <t>077 450 74 72</t>
  </si>
  <si>
    <t>Baumgartenstrasse 5, 5222 Umiken</t>
  </si>
  <si>
    <t>robincvogel@yahoo.de</t>
  </si>
  <si>
    <t>CH37 0021 0210 1064 9440 D</t>
  </si>
  <si>
    <t>RolHot</t>
  </si>
  <si>
    <t>Roland Hotz</t>
  </si>
  <si>
    <t>Roland</t>
  </si>
  <si>
    <t>Hotz</t>
  </si>
  <si>
    <t>079 514 48 65</t>
  </si>
  <si>
    <t>Riedenerstrasse 67, 8304 Wallisellen</t>
  </si>
  <si>
    <t>roland.hotz@schulen.zuerich.ch</t>
  </si>
  <si>
    <t>CH97 8147 70000036 6293 6</t>
  </si>
  <si>
    <t>Lieber Roland</t>
  </si>
  <si>
    <t>RomMei</t>
  </si>
  <si>
    <t>Roman Meier</t>
  </si>
  <si>
    <t>Roman</t>
  </si>
  <si>
    <t>079 771 40 66</t>
  </si>
  <si>
    <t>Schumacherweg 11, 8046 Zürich</t>
  </si>
  <si>
    <t>r.meier94@hotmail.com</t>
  </si>
  <si>
    <t>CH4000700110002412766</t>
  </si>
  <si>
    <t>Lieber Roman</t>
  </si>
  <si>
    <t>RomWig</t>
  </si>
  <si>
    <t>Roman Wiget</t>
  </si>
  <si>
    <t>079 461 18 85</t>
  </si>
  <si>
    <t>Kappelerstrasse 12, 8911 Rifferswil</t>
  </si>
  <si>
    <t>romanwiget01@gmail.com</t>
  </si>
  <si>
    <t>roman.wiget@schneezueri.ch</t>
  </si>
  <si>
    <t>CH02 8130 2000 0036 5535 4</t>
  </si>
  <si>
    <t>RomWüs</t>
  </si>
  <si>
    <t>Romy Wüst</t>
  </si>
  <si>
    <t>Romy</t>
  </si>
  <si>
    <t>Wüst</t>
  </si>
  <si>
    <t>079 381 36 23</t>
  </si>
  <si>
    <t>Wonnebergstrasse 71, 8008 Zürich</t>
  </si>
  <si>
    <t>romy.s.wuest@gmail.com</t>
  </si>
  <si>
    <t>CH50 0070 0111 3000 8508 5</t>
  </si>
  <si>
    <t>Liebe Romy</t>
  </si>
  <si>
    <t>RonVol</t>
  </si>
  <si>
    <t>Ronja Volkart</t>
  </si>
  <si>
    <t>Ronja</t>
  </si>
  <si>
    <t>Volkart</t>
  </si>
  <si>
    <t>756.7969.4527.81</t>
  </si>
  <si>
    <t>079 926 64 40</t>
  </si>
  <si>
    <t>Haslistrasse 25, 8175 Windlach</t>
  </si>
  <si>
    <t>ronja.volkart@gmail.com</t>
  </si>
  <si>
    <t>CH52 8080 8004 5458 9611 7</t>
  </si>
  <si>
    <t>Liebe Ronja</t>
  </si>
  <si>
    <t>RubSch</t>
  </si>
  <si>
    <t>Ruben Schlumpf</t>
  </si>
  <si>
    <t>Ruben</t>
  </si>
  <si>
    <t>Schlumpf</t>
  </si>
  <si>
    <t>076 779 89 10</t>
  </si>
  <si>
    <t>Hofstrasse 23, 8344 Bäretswil</t>
  </si>
  <si>
    <t>ruben795@hotmail.com</t>
  </si>
  <si>
    <t>CH33 0070 0110 0043 6753 9</t>
  </si>
  <si>
    <t>Lieber Ruben</t>
  </si>
  <si>
    <t>RutRig</t>
  </si>
  <si>
    <t>Ruth Rigoleth</t>
  </si>
  <si>
    <t>Ruth</t>
  </si>
  <si>
    <t>Rigoleth</t>
  </si>
  <si>
    <t>079 513 75 47</t>
  </si>
  <si>
    <t>Steinacherstrasse 1, 8614 Bertschikon</t>
  </si>
  <si>
    <t>ruth.rigoleth@rez.ch</t>
  </si>
  <si>
    <t>CH7204835046528100003</t>
  </si>
  <si>
    <t>Liebe Ruth</t>
  </si>
  <si>
    <t>SabSch</t>
  </si>
  <si>
    <t>Sabrina Schenardi</t>
  </si>
  <si>
    <t>Sabrina</t>
  </si>
  <si>
    <t>756.6753.2189.61</t>
  </si>
  <si>
    <t>079 420 96 12</t>
  </si>
  <si>
    <t>sabrina.schenardi@gmail.com</t>
  </si>
  <si>
    <t>CH20090000000856501347</t>
  </si>
  <si>
    <t>Liebe Sabrina</t>
  </si>
  <si>
    <t>SaiVög</t>
  </si>
  <si>
    <t>Saira Vögeli</t>
  </si>
  <si>
    <t>Saira</t>
  </si>
  <si>
    <t>Vögeli</t>
  </si>
  <si>
    <t>Leehaldenweg 34, 8153 Rümlang</t>
  </si>
  <si>
    <t>sairaeva@icloud.com</t>
  </si>
  <si>
    <t>CH9508389045266478114</t>
  </si>
  <si>
    <t>Liebe Saira</t>
  </si>
  <si>
    <t>SamBou</t>
  </si>
  <si>
    <t>Samyo Bounlom</t>
  </si>
  <si>
    <t>Samyo</t>
  </si>
  <si>
    <t>Bounlom</t>
  </si>
  <si>
    <t>078 673 36 61</t>
  </si>
  <si>
    <t>Schützenstrasse 10, 8355 Aadorf</t>
  </si>
  <si>
    <t>sa-myo@hotmail.com</t>
  </si>
  <si>
    <t>CH05 0900 0000 3036 3847 7</t>
  </si>
  <si>
    <t>Lieber Samyo</t>
  </si>
  <si>
    <t>SamFre</t>
  </si>
  <si>
    <t>Samuel Frey</t>
  </si>
  <si>
    <t>Samuel</t>
  </si>
  <si>
    <t>Frey</t>
  </si>
  <si>
    <t>079 391 48 69</t>
  </si>
  <si>
    <t>Obereyfeldweg 5, 3063 Ittigen</t>
  </si>
  <si>
    <t>saemi_frey@yahoo.de</t>
  </si>
  <si>
    <t>CH98 0900 0000 3053 5748 6</t>
  </si>
  <si>
    <t>Lieber Samuel</t>
  </si>
  <si>
    <t>SamLeh</t>
  </si>
  <si>
    <t>Samuel Lehmann</t>
  </si>
  <si>
    <t>Lehmann</t>
  </si>
  <si>
    <t>076 340 80 85</t>
  </si>
  <si>
    <t>Dufourstrasse 3, 5600 Lebzburg</t>
  </si>
  <si>
    <t>saemu.lehmann@bluewin.ch</t>
  </si>
  <si>
    <t>CH59 0830 7000 1302 5031 7</t>
  </si>
  <si>
    <t>SamMan</t>
  </si>
  <si>
    <t>Samuel Manser</t>
  </si>
  <si>
    <t>078 810 77 85</t>
  </si>
  <si>
    <t>samuelmanser@yahoo.de</t>
  </si>
  <si>
    <t>CH55 8128 4000 0022 9788 02</t>
  </si>
  <si>
    <t>SanJud</t>
  </si>
  <si>
    <t>Sandro Jud</t>
  </si>
  <si>
    <t>Sandro</t>
  </si>
  <si>
    <t>756.5602.6468.25</t>
  </si>
  <si>
    <t>079 739 22 09</t>
  </si>
  <si>
    <t>Dorfstrasse, 13B, 8967 Widen</t>
  </si>
  <si>
    <t>ducati@swissonline.ch</t>
  </si>
  <si>
    <t>CH72 0070 0114 8041 4615 4</t>
  </si>
  <si>
    <t>Lieber Sandro</t>
  </si>
  <si>
    <t>SanWil</t>
  </si>
  <si>
    <t>Sandra Wilhelm</t>
  </si>
  <si>
    <t>Sandra</t>
  </si>
  <si>
    <t>Wilhelm</t>
  </si>
  <si>
    <t>756.3158.9721.91</t>
  </si>
  <si>
    <t>079 798 14 56</t>
  </si>
  <si>
    <t>Neugasse 31, 8005 Zürich</t>
  </si>
  <si>
    <t>sandrawilhelm@bluewin.ch</t>
  </si>
  <si>
    <t>CH17 8080 8008 8445 5582 8</t>
  </si>
  <si>
    <t>Liebe Sandra</t>
  </si>
  <si>
    <t>SarAmm</t>
  </si>
  <si>
    <t>Sara Ammann</t>
  </si>
  <si>
    <t>Sara</t>
  </si>
  <si>
    <t>Ammann</t>
  </si>
  <si>
    <t>079 179 03 54</t>
  </si>
  <si>
    <t>Huebachersteig 8, 5417 Untersiggenthal</t>
  </si>
  <si>
    <t>sammann2001@gmail.com</t>
  </si>
  <si>
    <t>CH52 0070 0110 0065 6851 5</t>
  </si>
  <si>
    <t>Liebe Sara</t>
  </si>
  <si>
    <t>SasSti</t>
  </si>
  <si>
    <t>Saskia Stillhart</t>
  </si>
  <si>
    <t>Saskia</t>
  </si>
  <si>
    <t>Stillhart</t>
  </si>
  <si>
    <t>079 754 93 55</t>
  </si>
  <si>
    <t>Im Zagg 5, 9476 Fontnas</t>
  </si>
  <si>
    <t>saskiastillhart@gmail.com</t>
  </si>
  <si>
    <t>CH1609000000317667001</t>
  </si>
  <si>
    <t>Liebe Saskia</t>
  </si>
  <si>
    <t>SasWei</t>
  </si>
  <si>
    <t>Sascha Weidner</t>
  </si>
  <si>
    <t>Sascha</t>
  </si>
  <si>
    <t>Weidner</t>
  </si>
  <si>
    <t>076 594 83 56</t>
  </si>
  <si>
    <t>Schlossstrasse 43, 3672 Oberdiessbach</t>
  </si>
  <si>
    <t>sascha.weidner@gmx.ch</t>
  </si>
  <si>
    <t>CH06 0900 0000 3078 3807 4</t>
  </si>
  <si>
    <t>Lieber Sascha</t>
  </si>
  <si>
    <t>SebFri</t>
  </si>
  <si>
    <t>Sebastian Fritsche</t>
  </si>
  <si>
    <t>Sebastian</t>
  </si>
  <si>
    <t>079 831 76 91</t>
  </si>
  <si>
    <t>Milchbuckstrasse, 15, 8057 Zürich</t>
  </si>
  <si>
    <t>sebalaska@hotmail.com</t>
  </si>
  <si>
    <t>CH8105881092338310000</t>
  </si>
  <si>
    <t>Lieber Sebastian</t>
  </si>
  <si>
    <t>SerHau</t>
  </si>
  <si>
    <t>Seraina Hauser</t>
  </si>
  <si>
    <t>Seraina</t>
  </si>
  <si>
    <t>Hauser</t>
  </si>
  <si>
    <t>079 328 34 71</t>
  </si>
  <si>
    <t>Dorfstrasse 66, 8037 Zürich</t>
  </si>
  <si>
    <t>seraina.hauser@schulen.zuerich.ch</t>
  </si>
  <si>
    <t>CH03 0070 0115 7000 7247 3</t>
  </si>
  <si>
    <t>Liebe Seraina</t>
  </si>
  <si>
    <t>SilSti</t>
  </si>
  <si>
    <t>Silvan Stirnimann</t>
  </si>
  <si>
    <t>Silvan</t>
  </si>
  <si>
    <t>Stirnimann</t>
  </si>
  <si>
    <t>756.7695.6314.74</t>
  </si>
  <si>
    <t>076 730 05 59</t>
  </si>
  <si>
    <t>Badweiherstrasse 5, 5630 Muri</t>
  </si>
  <si>
    <t>silvan.wtw@gmail.com</t>
  </si>
  <si>
    <t>CH51 0023 3233 7324 0340 W</t>
  </si>
  <si>
    <t>Lieber Silvan</t>
  </si>
  <si>
    <t>SimHar</t>
  </si>
  <si>
    <t>Simon Harter</t>
  </si>
  <si>
    <t>Simon</t>
  </si>
  <si>
    <t>Harter</t>
  </si>
  <si>
    <t>078 619 48 42</t>
  </si>
  <si>
    <t>Rotachstrasse 5, 8003 Zürich</t>
  </si>
  <si>
    <t>simonharter@me.com</t>
  </si>
  <si>
    <t>Lieber Simon</t>
  </si>
  <si>
    <t>SimImt</t>
  </si>
  <si>
    <t>Simone Imthurn</t>
  </si>
  <si>
    <t>Simone</t>
  </si>
  <si>
    <t>Imthurn</t>
  </si>
  <si>
    <t>0</t>
  </si>
  <si>
    <t>-, 9305 Berg</t>
  </si>
  <si>
    <t>simone.imthurn@icloud.com</t>
  </si>
  <si>
    <t>-</t>
  </si>
  <si>
    <t>Liebe Simone</t>
  </si>
  <si>
    <t>SimJau</t>
  </si>
  <si>
    <t>Simon Jaussi</t>
  </si>
  <si>
    <t>756.0831.6638.10</t>
  </si>
  <si>
    <t>078 919 91 41</t>
  </si>
  <si>
    <t>Hohlstrasse 440, 8048 Zürich</t>
  </si>
  <si>
    <t>simon.jaussi@hotmail.com</t>
  </si>
  <si>
    <t>CH4500700110002934924</t>
  </si>
  <si>
    <t>SimWin</t>
  </si>
  <si>
    <t>Simon Windler</t>
  </si>
  <si>
    <t>Windler</t>
  </si>
  <si>
    <t>079 612 86 53</t>
  </si>
  <si>
    <t>Büelhofstrasse 44, 8405 Winterthur</t>
  </si>
  <si>
    <t>simonwindler@gmx.ch</t>
  </si>
  <si>
    <t>CH84 0078 4112 0432 3500 6</t>
  </si>
  <si>
    <t>SinRei</t>
  </si>
  <si>
    <t>Sina Reimann</t>
  </si>
  <si>
    <t>Sina</t>
  </si>
  <si>
    <t>Reimann</t>
  </si>
  <si>
    <t>079 605 97 29</t>
  </si>
  <si>
    <t>Kirchweg 40d, 5415 Nussbaumen</t>
  </si>
  <si>
    <t>sinareimann@pop.agri.ch</t>
  </si>
  <si>
    <t>CH02 0076 1041 3969 5200 1</t>
  </si>
  <si>
    <t>Liebe Sina</t>
  </si>
  <si>
    <t>SmeGia</t>
  </si>
  <si>
    <t>Smerakda Giannini</t>
  </si>
  <si>
    <t>Smerakda</t>
  </si>
  <si>
    <t>Giannini</t>
  </si>
  <si>
    <t>076 377 99 91</t>
  </si>
  <si>
    <t>Lärchenstrasse 2, 8421 Dättlikon</t>
  </si>
  <si>
    <t>smerakda@smerakda.com</t>
  </si>
  <si>
    <t>CH00700113200462438</t>
  </si>
  <si>
    <t>Liebe Smerakda</t>
  </si>
  <si>
    <t>SmiDie</t>
  </si>
  <si>
    <t>Smilla Diener</t>
  </si>
  <si>
    <t>Smilla</t>
  </si>
  <si>
    <t>Diener</t>
  </si>
  <si>
    <t>079 472 45 26</t>
  </si>
  <si>
    <t>Kornhausstrasse, 50, 8006 Zürich</t>
  </si>
  <si>
    <t>smilla.diener@gmail.com</t>
  </si>
  <si>
    <t>CH34 0023 5235 6800 2140 Y</t>
  </si>
  <si>
    <t>Liebe Smilla</t>
  </si>
  <si>
    <t>SopWie</t>
  </si>
  <si>
    <t>Sophie Wieser</t>
  </si>
  <si>
    <t>Sophie</t>
  </si>
  <si>
    <t>Wieser</t>
  </si>
  <si>
    <t>078 661 88 01</t>
  </si>
  <si>
    <t>Bifangweg 10, 5200 Brugg</t>
  </si>
  <si>
    <t>wieser.sophie@hotmail.com</t>
  </si>
  <si>
    <t>CH38 0076 1129 0347 6200 1</t>
  </si>
  <si>
    <t>Liebe Sophie</t>
  </si>
  <si>
    <t>SteBau</t>
  </si>
  <si>
    <t>Steven Baumann</t>
  </si>
  <si>
    <t>Steven</t>
  </si>
  <si>
    <t>079 593 71 27</t>
  </si>
  <si>
    <t>Seestrasse 279, 8038 Zürich</t>
  </si>
  <si>
    <t>Baumannzueri@gmx.ch</t>
  </si>
  <si>
    <t>Lieber Steven</t>
  </si>
  <si>
    <t>SteBur</t>
  </si>
  <si>
    <t>Stefan Burkard</t>
  </si>
  <si>
    <t>Stefan</t>
  </si>
  <si>
    <t>Burkard</t>
  </si>
  <si>
    <t>079 532 83 82</t>
  </si>
  <si>
    <t>Tiefenweidstrasse 16, 5634 Merenschwand</t>
  </si>
  <si>
    <t>stefan_burkard@hotmail.com</t>
  </si>
  <si>
    <t>CH81 0070 0352 1752 0445 0</t>
  </si>
  <si>
    <t>Lieber Stefan</t>
  </si>
  <si>
    <t>SteImh</t>
  </si>
  <si>
    <t>Stephanie Imhof</t>
  </si>
  <si>
    <t>Stephanie</t>
  </si>
  <si>
    <t>Imhof</t>
  </si>
  <si>
    <t>076 457 64 05</t>
  </si>
  <si>
    <t>Aubodenstrasse 31, 8472 Seuzach</t>
  </si>
  <si>
    <t>stephanie.imhof@schulen.zuerich.ch</t>
  </si>
  <si>
    <t>CH25 0070 0113 2004 8159 9</t>
  </si>
  <si>
    <t>Liebe Stephanie</t>
  </si>
  <si>
    <t>SteKar</t>
  </si>
  <si>
    <t>Steve Karagülle</t>
  </si>
  <si>
    <t>Steve</t>
  </si>
  <si>
    <t>Karagülle</t>
  </si>
  <si>
    <t>077 993 42 40</t>
  </si>
  <si>
    <t>Hildastrasse 9, 8004 Zürich</t>
  </si>
  <si>
    <t>skaraguelle@hotmail.com</t>
  </si>
  <si>
    <t>CH4908401000051971453</t>
  </si>
  <si>
    <t>Lieber Steve</t>
  </si>
  <si>
    <t>SteRei</t>
  </si>
  <si>
    <t>Stephan Reich</t>
  </si>
  <si>
    <t>Stephan</t>
  </si>
  <si>
    <t>Reich</t>
  </si>
  <si>
    <t>079 900 89 83</t>
  </si>
  <si>
    <t>Gossauerstrasse 53, 9100 Herisau</t>
  </si>
  <si>
    <t>stephan.reich@hotmail.com</t>
  </si>
  <si>
    <t>CH80 8080 8006 3123 4971 2</t>
  </si>
  <si>
    <t>Lieber Stephan</t>
  </si>
  <si>
    <t>SteSch</t>
  </si>
  <si>
    <t>Stefan Schwarz</t>
  </si>
  <si>
    <t>Schwarz</t>
  </si>
  <si>
    <t>756.3822.6325.50</t>
  </si>
  <si>
    <t>079 619 21 56</t>
  </si>
  <si>
    <t>Steinhügelstrasse 2, 8965 Berikon</t>
  </si>
  <si>
    <t>stefschwarz@bluewin.ch</t>
  </si>
  <si>
    <t>CH68 0900 0000 1566 6866 6</t>
  </si>
  <si>
    <t>SusOst</t>
  </si>
  <si>
    <t>Susi Osterwalder</t>
  </si>
  <si>
    <t>Susi</t>
  </si>
  <si>
    <t>Osterwalder</t>
  </si>
  <si>
    <t>756.4542.4340.80</t>
  </si>
  <si>
    <t>079 302 12 27</t>
  </si>
  <si>
    <t>Wydenrainweg 2, 8708 Männedorf</t>
  </si>
  <si>
    <t>susi.osterwalder@schulen.zuerich.ch</t>
  </si>
  <si>
    <t>CH36 0027 5275 8018 0340 M</t>
  </si>
  <si>
    <t>Liebe Susi</t>
  </si>
  <si>
    <t>SusSch</t>
  </si>
  <si>
    <t>Susanne Schütz</t>
  </si>
  <si>
    <t>Susanne</t>
  </si>
  <si>
    <t>Schütz</t>
  </si>
  <si>
    <t>756.4989.8534.82</t>
  </si>
  <si>
    <t>076 514 58 25</t>
  </si>
  <si>
    <t>sue.schuetz@gmx.ch</t>
  </si>
  <si>
    <t>CH25 8080 8001 1288 9836 1</t>
  </si>
  <si>
    <t>Liebe Susanne</t>
  </si>
  <si>
    <t>TabSta</t>
  </si>
  <si>
    <t>Tabea Stauffacher</t>
  </si>
  <si>
    <t>Tabea</t>
  </si>
  <si>
    <t>Stauffacher</t>
  </si>
  <si>
    <t>079 565 01 28</t>
  </si>
  <si>
    <t>Chimligasse 12, 8603 Schwerzenbach</t>
  </si>
  <si>
    <t>tabea.stauffacher@gmail.com</t>
  </si>
  <si>
    <t>CH1700781135534733901</t>
  </si>
  <si>
    <t>Liebe Tabea</t>
  </si>
  <si>
    <t>TahBer</t>
  </si>
  <si>
    <t>Tahoe Bernhard</t>
  </si>
  <si>
    <t>Tahoe</t>
  </si>
  <si>
    <t>Bernhard</t>
  </si>
  <si>
    <t>078 913 55 58</t>
  </si>
  <si>
    <t>Ackersteinstrasse 165, 8049 Zürich</t>
  </si>
  <si>
    <t>tahoerobin.bernhard@schulen.zuerich.ch</t>
  </si>
  <si>
    <t>CH4400700110002270007</t>
  </si>
  <si>
    <t>Lieber Tahoe</t>
  </si>
  <si>
    <t>ThiHer</t>
  </si>
  <si>
    <t>Thimo Hermle</t>
  </si>
  <si>
    <t>Thimo</t>
  </si>
  <si>
    <t>Hermle</t>
  </si>
  <si>
    <t>077 450 63 98</t>
  </si>
  <si>
    <t>Zinggliweg 6, 7208 Malans</t>
  </si>
  <si>
    <t>thimo.hermle@bluewin.ch</t>
  </si>
  <si>
    <t>CH16 0077 4010 2421 8710 1</t>
  </si>
  <si>
    <t>Lieber Thimo</t>
  </si>
  <si>
    <t>ThiKäs</t>
  </si>
  <si>
    <t>Thilo Käser</t>
  </si>
  <si>
    <t>Thilo</t>
  </si>
  <si>
    <t>Käser</t>
  </si>
  <si>
    <t>076 427 84 84</t>
  </si>
  <si>
    <t>Untere Briggerstrasse 31, 8406 Winterthur</t>
  </si>
  <si>
    <t>thilo.kaeser@gmx.ch</t>
  </si>
  <si>
    <t>CH57 0070 0113 1000 7428 6</t>
  </si>
  <si>
    <t>Lieber Thilo</t>
  </si>
  <si>
    <t>ThoErb</t>
  </si>
  <si>
    <t>Thomas Erb</t>
  </si>
  <si>
    <t>Thomas</t>
  </si>
  <si>
    <t>756.6965.5107.09</t>
  </si>
  <si>
    <t>079 231 99 65</t>
  </si>
  <si>
    <t>Kosakenweg 1, 8052 Zürich</t>
  </si>
  <si>
    <t>erbthomas@bluewin.ch</t>
  </si>
  <si>
    <t>CH49 0070 0114 4002 i7698 0</t>
  </si>
  <si>
    <t>Lieber Thomas</t>
  </si>
  <si>
    <t>ThoFed</t>
  </si>
  <si>
    <t>Thomas Federspiel</t>
  </si>
  <si>
    <t>Federspiel</t>
  </si>
  <si>
    <t>078 743 51 80</t>
  </si>
  <si>
    <t>Schweighofstrasse 315, 8055 Zürich</t>
  </si>
  <si>
    <t>thomas.federspiel@schulen.zuerich.ch</t>
  </si>
  <si>
    <t>CH41 0900 0000 6006 8092 9</t>
  </si>
  <si>
    <t>ThoFlu</t>
  </si>
  <si>
    <t>Thomas Flury</t>
  </si>
  <si>
    <t>076 305 45 44</t>
  </si>
  <si>
    <t>Buchsackerweg, 74, 3038 Kirchlindach</t>
  </si>
  <si>
    <t>buchsacher@gmail.com</t>
  </si>
  <si>
    <t>CH57 0900 0000 3010 0719 2</t>
  </si>
  <si>
    <t>ThoSch</t>
  </si>
  <si>
    <t>Thomas Schumacher</t>
  </si>
  <si>
    <t>Schumacher</t>
  </si>
  <si>
    <t>079 942 72 91</t>
  </si>
  <si>
    <t>Tüfistrasse 13c, 8107 Buchs</t>
  </si>
  <si>
    <t>t_schumacher@outlook.com</t>
  </si>
  <si>
    <t>CH72 0838 9026 7709 2214 5</t>
  </si>
  <si>
    <t>TinLüt</t>
  </si>
  <si>
    <t>Tino Lüthi</t>
  </si>
  <si>
    <t>Tino</t>
  </si>
  <si>
    <t>Lüthi</t>
  </si>
  <si>
    <t>079 778 90 26</t>
  </si>
  <si>
    <t>Hopfenstrasse 15, 8045 Zürich</t>
  </si>
  <si>
    <t>luethi.tino@gmail.com</t>
  </si>
  <si>
    <t>CH070028528540119140J</t>
  </si>
  <si>
    <t>Lieber Tino</t>
  </si>
  <si>
    <t>TisMom</t>
  </si>
  <si>
    <t>Tisalie Mombu</t>
  </si>
  <si>
    <t>Tisalie</t>
  </si>
  <si>
    <t>Mombu</t>
  </si>
  <si>
    <t>079 684 98 87</t>
  </si>
  <si>
    <t>Hallwylstrasse 77, 8004 Zürich</t>
  </si>
  <si>
    <t>t.mombu@gmx.ch</t>
  </si>
  <si>
    <t>CH47 0070 0110 0020 2046 9</t>
  </si>
  <si>
    <t>Lieber Tisalie</t>
  </si>
  <si>
    <t xml:space="preserve">TizDi </t>
  </si>
  <si>
    <t>Tiziano Di Pietro</t>
  </si>
  <si>
    <t>Tiziano</t>
  </si>
  <si>
    <t>075 414 48 80</t>
  </si>
  <si>
    <t>via ca di sopra 10, 6597 Agarone</t>
  </si>
  <si>
    <t>tizdipietro@gmail.com</t>
  </si>
  <si>
    <t>CH740025725762322340W</t>
  </si>
  <si>
    <t>Lieber Tiziano</t>
  </si>
  <si>
    <t>TizJun</t>
  </si>
  <si>
    <t>Tizian Jungo</t>
  </si>
  <si>
    <t>Tizian</t>
  </si>
  <si>
    <t>Jungo</t>
  </si>
  <si>
    <t>079 887 88 10</t>
  </si>
  <si>
    <t>Rue du Tilleul 26, 1588 Cudrefin</t>
  </si>
  <si>
    <t>tizian97@hotmail.ch</t>
  </si>
  <si>
    <t>CH17 0900 0000 2569 7883 6</t>
  </si>
  <si>
    <t>Lieber Tizian</t>
  </si>
  <si>
    <t>TobAck</t>
  </si>
  <si>
    <t>Tobias Ackermann</t>
  </si>
  <si>
    <t>Tobias</t>
  </si>
  <si>
    <t>Ackermann</t>
  </si>
  <si>
    <t>079 580 57 61</t>
  </si>
  <si>
    <t>Klostarparkgässli 6, 5430 Wettingen</t>
  </si>
  <si>
    <t>tobias.ackermann@escaflown.ch</t>
  </si>
  <si>
    <t>CH04 8080 8001 5285 6638 4</t>
  </si>
  <si>
    <t>Lieber Tobias</t>
  </si>
  <si>
    <t>UelLüs</t>
  </si>
  <si>
    <t>Ueli Lüscher</t>
  </si>
  <si>
    <t>Ueli</t>
  </si>
  <si>
    <t>Lüscher</t>
  </si>
  <si>
    <t>079 218 79 88</t>
  </si>
  <si>
    <t>Sägestrasse 66, 3098 Köniz</t>
  </si>
  <si>
    <t>ueli@tls.ch</t>
  </si>
  <si>
    <t>ueli.luescher@schneezueri.ch</t>
  </si>
  <si>
    <t>Lieber Ueli</t>
  </si>
  <si>
    <t>ValGra</t>
  </si>
  <si>
    <t>Valentin Graf</t>
  </si>
  <si>
    <t>Valentin</t>
  </si>
  <si>
    <t>Graf</t>
  </si>
  <si>
    <t>077 466 59 33</t>
  </si>
  <si>
    <t>Nelkenring 24, 4416 Bubendorf</t>
  </si>
  <si>
    <t>vg@bman.ch</t>
  </si>
  <si>
    <t>CH28 0076 9016 2153 3451 8</t>
  </si>
  <si>
    <t>Lieber Valentin</t>
  </si>
  <si>
    <t>VanLoo</t>
  </si>
  <si>
    <t>Vanessa Looser</t>
  </si>
  <si>
    <t>Vanessa</t>
  </si>
  <si>
    <t>Looser</t>
  </si>
  <si>
    <t>079 578 41 75</t>
  </si>
  <si>
    <t>Kanzleistrasse 161, 8004 Zürich</t>
  </si>
  <si>
    <t>vanessalooser@yahoo.de</t>
  </si>
  <si>
    <t>CH75 0026 7267 8470 5940 P</t>
  </si>
  <si>
    <t>Liebe Vanessa</t>
  </si>
  <si>
    <t>VanSch</t>
  </si>
  <si>
    <t>Vanessa Schneider</t>
  </si>
  <si>
    <t>Schneider</t>
  </si>
  <si>
    <t>079 258 21 80</t>
  </si>
  <si>
    <t>Letzigraben 226, 8047 Zürich</t>
  </si>
  <si>
    <t>vanessa_schneider@stud.phzh.ch</t>
  </si>
  <si>
    <t>CH5700700110002339031</t>
  </si>
  <si>
    <t>VerPal</t>
  </si>
  <si>
    <t>Vera Pala</t>
  </si>
  <si>
    <t>Vera</t>
  </si>
  <si>
    <t>Pala</t>
  </si>
  <si>
    <t>079 762 24 70</t>
  </si>
  <si>
    <t>Dorfstrasse 20, 8905 Islisberg</t>
  </si>
  <si>
    <t>vera.stuessi@bluewin.ch</t>
  </si>
  <si>
    <t>CH7409000000871777681</t>
  </si>
  <si>
    <t>Liebe Vera</t>
  </si>
  <si>
    <t>VerStr</t>
  </si>
  <si>
    <t>Vera Strässle</t>
  </si>
  <si>
    <t>Strässle</t>
  </si>
  <si>
    <t>076 539 29 75</t>
  </si>
  <si>
    <t>vera.straessle@schulen.zuerich.ch</t>
  </si>
  <si>
    <t>CH5200700110002039100</t>
  </si>
  <si>
    <t>VinLan</t>
  </si>
  <si>
    <t>Vincent Landwehr</t>
  </si>
  <si>
    <t>Vincent</t>
  </si>
  <si>
    <t>Landwehr</t>
  </si>
  <si>
    <t>+41 76 593 04 77</t>
  </si>
  <si>
    <t>Rieterstrasse 112, 8002 Zürich</t>
  </si>
  <si>
    <t>landwehr.vincent.zh@gmail.com</t>
  </si>
  <si>
    <t>CH03 8080 8008 7232 9153 0</t>
  </si>
  <si>
    <t>Lieber Vincent</t>
  </si>
  <si>
    <t>VreDah</t>
  </si>
  <si>
    <t>Vreni Dahinden</t>
  </si>
  <si>
    <t>Vreni</t>
  </si>
  <si>
    <t>Dahinden</t>
  </si>
  <si>
    <t>756.6439.4601.58</t>
  </si>
  <si>
    <t>076 532 01 83</t>
  </si>
  <si>
    <t>vrenidahu@gmail.com</t>
  </si>
  <si>
    <t>CH43 0070 0114 2000 8451 1</t>
  </si>
  <si>
    <t>Liebe Vreni</t>
  </si>
  <si>
    <t>WerPet</t>
  </si>
  <si>
    <t>Werner Peter</t>
  </si>
  <si>
    <t>Werner</t>
  </si>
  <si>
    <t>079 250 66 62</t>
  </si>
  <si>
    <t>Breitenlooweg 7, 8047 Zürich</t>
  </si>
  <si>
    <t>werner.peter@bluewin.ch</t>
  </si>
  <si>
    <t>CH68 0026 7267 9240 9240G</t>
  </si>
  <si>
    <t>Lieber Werner</t>
  </si>
  <si>
    <t>XenVoe</t>
  </si>
  <si>
    <t>Xenia Voellmy</t>
  </si>
  <si>
    <t>Xenia</t>
  </si>
  <si>
    <t>Voellmy</t>
  </si>
  <si>
    <t>076 524 15 83</t>
  </si>
  <si>
    <t>Seefeldstrasse 218, 8008 Zürich</t>
  </si>
  <si>
    <t>xenia@voellmy.com</t>
  </si>
  <si>
    <t>CH1500700110003425314</t>
  </si>
  <si>
    <t>Liebe Xenia</t>
  </si>
  <si>
    <t>YarDem</t>
  </si>
  <si>
    <t>Yara Demeny</t>
  </si>
  <si>
    <t>Yara</t>
  </si>
  <si>
    <t>Demeny</t>
  </si>
  <si>
    <t>Hilfsleiterin</t>
  </si>
  <si>
    <t>079 610 71 31</t>
  </si>
  <si>
    <t>Zürichstrasse 103f, 8123 Ebmatingen</t>
  </si>
  <si>
    <t>yara.a.h@icloud.com</t>
  </si>
  <si>
    <t>Liebe Yara</t>
  </si>
  <si>
    <t>YasMei</t>
  </si>
  <si>
    <t>Yasmin Meier</t>
  </si>
  <si>
    <t>Yasmin</t>
  </si>
  <si>
    <t>079 380 65 86</t>
  </si>
  <si>
    <t>Luzernerring 124, 4056 Basel</t>
  </si>
  <si>
    <t>yasmin.meier@hotmail.com</t>
  </si>
  <si>
    <t>CH79 0078 7007 7076 7930 1</t>
  </si>
  <si>
    <t>Liebe Yasmin</t>
  </si>
  <si>
    <t>YveRys</t>
  </si>
  <si>
    <t>Yves Ryser</t>
  </si>
  <si>
    <t>Yves</t>
  </si>
  <si>
    <t>Ryser</t>
  </si>
  <si>
    <t>076 438 90 89</t>
  </si>
  <si>
    <t>Narzissenweg 14, 8400 Winterthur</t>
  </si>
  <si>
    <t>ryser.yves@gmail.com</t>
  </si>
  <si>
    <t>CH06 0900 0000 8732 0820 0</t>
  </si>
  <si>
    <t>Lieber Yves</t>
  </si>
  <si>
    <t>YvoKau</t>
  </si>
  <si>
    <t>Yvonne Kaufmann</t>
  </si>
  <si>
    <t>Yvonne</t>
  </si>
  <si>
    <t>756.5215.0390.69</t>
  </si>
  <si>
    <t>079 575 36 70</t>
  </si>
  <si>
    <t>Eichenweg 8, 4528 Zuchwil</t>
  </si>
  <si>
    <t>kaufmann.yvonne@hotmail.com</t>
  </si>
  <si>
    <t>CH30 0900 0000 4069 2576 1</t>
  </si>
  <si>
    <t>Liebe Yvonne</t>
  </si>
  <si>
    <t>YvoRib</t>
  </si>
  <si>
    <t>Yvonne Ribi</t>
  </si>
  <si>
    <t>Ribi</t>
  </si>
  <si>
    <t>079 483 46 22</t>
  </si>
  <si>
    <t>Lindenstrasse 1, 8704 Herrliberg</t>
  </si>
  <si>
    <t>yvonne.ribi@gmail.com</t>
  </si>
  <si>
    <t>CH0481481000003034298</t>
  </si>
  <si>
    <t>ZenPoz</t>
  </si>
  <si>
    <t>Zenia Pozzy</t>
  </si>
  <si>
    <t>Zenia</t>
  </si>
  <si>
    <t>Pozzy</t>
  </si>
  <si>
    <t>078 613 08 31</t>
  </si>
  <si>
    <t>Lägernstrasse 3, 8037 Zürich</t>
  </si>
  <si>
    <t>z.pozzy@gmx.ch</t>
  </si>
  <si>
    <t>CH02 0070 0110 0029 1697 7</t>
  </si>
  <si>
    <t>Liebe Zenia</t>
  </si>
  <si>
    <t>ZorTan</t>
  </si>
  <si>
    <t>Zora Tanner</t>
  </si>
  <si>
    <t>Zora</t>
  </si>
  <si>
    <t>078 903 79 87</t>
  </si>
  <si>
    <t>Möhrlistrasse 120, 8006 Zürich</t>
  </si>
  <si>
    <t>zora.tanner@hotmail.ch</t>
  </si>
  <si>
    <t>CH80 0077 7003 9165 5137 7</t>
  </si>
  <si>
    <t>Liebe Zora</t>
  </si>
  <si>
    <t>Geburtsdatum</t>
  </si>
  <si>
    <t>Eintrittsdatum</t>
  </si>
  <si>
    <t>Erfassungsdatum</t>
  </si>
  <si>
    <t>Versa::Datum der Unterzeichnung</t>
  </si>
  <si>
    <t/>
  </si>
  <si>
    <t xml:space="preserve"> Link Wochenprogramm</t>
  </si>
  <si>
    <t xml:space="preserve"> - Wochenprogramm einreichen (bis spätestens 5 Wochen vor Lagerbeginn).</t>
  </si>
  <si>
    <t xml:space="preserve"> - den zuständigen Person für den J&amp;S Sport DB Zugang.</t>
  </si>
  <si>
    <t xml:space="preserve"> - die AHV-Nr. von mind. 2 J&amp;S Leitpersonen</t>
  </si>
  <si>
    <t xml:space="preserve">Damit dein Lager in der J&amp;S DB registrieren können, benötigen wir noch: </t>
  </si>
  <si>
    <t>Ja</t>
  </si>
  <si>
    <t>SH-Camp Adresse:</t>
  </si>
  <si>
    <t>Schulhaus</t>
  </si>
  <si>
    <t>CHF</t>
  </si>
  <si>
    <t>SH-Camp Datum*:</t>
  </si>
  <si>
    <t>Ver. 2024 - 1.0</t>
  </si>
  <si>
    <t>Die Lageranmeldung ist zu senden an:    abrechnung@schneezueri.ch</t>
  </si>
  <si>
    <t>Reset Werte</t>
  </si>
  <si>
    <t>- Datenimport aus Vorjahren</t>
  </si>
  <si>
    <t>- Ein Abrechnungsfile für Camp und SH-Camps</t>
  </si>
  <si>
    <t>- LeiterInnen abgleich mit Datenbank</t>
  </si>
  <si>
    <r>
      <t xml:space="preserve">! Die meisten Werte werden vom </t>
    </r>
    <r>
      <rPr>
        <b/>
        <i/>
        <sz val="10"/>
        <rFont val="Arial"/>
        <family val="2"/>
      </rPr>
      <t>Datenstammblatt</t>
    </r>
    <r>
      <rPr>
        <i/>
        <sz val="10"/>
        <rFont val="Arial"/>
        <family val="2"/>
      </rPr>
      <t xml:space="preserve"> auf die Folgeblätter mittels Verknüpfung übertragen.</t>
    </r>
  </si>
  <si>
    <t>J+S Zuschl.</t>
  </si>
  <si>
    <t>Entschädigungen (link zu Camp-Abrechnung)</t>
  </si>
  <si>
    <t>Tage mal 
Fr. 80.-/125.-</t>
  </si>
  <si>
    <t>Leiterentschädigung (2.9)</t>
  </si>
  <si>
    <t>Ver. 2023 - 1.0</t>
  </si>
  <si>
    <t>Ver.  - 2023 - 1.0</t>
  </si>
  <si>
    <t>VorNac</t>
  </si>
  <si>
    <t>Import:</t>
  </si>
  <si>
    <t>Du kannst deine Stammdatenwerte aus dem Vorjahr übernehmen, wenn du die Spalten B:L markierts, kopierst und</t>
  </si>
  <si>
    <r>
      <t xml:space="preserve">im Import Arbeitsblatt in Zelle </t>
    </r>
    <r>
      <rPr>
        <b/>
        <sz val="10"/>
        <rFont val="Arial"/>
        <family val="2"/>
      </rPr>
      <t xml:space="preserve">B1 </t>
    </r>
    <r>
      <rPr>
        <sz val="10"/>
        <rFont val="Arial"/>
        <family val="2"/>
      </rPr>
      <t>als nur WERTE einfügst</t>
    </r>
  </si>
  <si>
    <t>Spalten Markieren, Arbeitsmappe wechseln,</t>
  </si>
  <si>
    <t xml:space="preserve">Einfügen nur Werte, Kontextmenu </t>
  </si>
  <si>
    <t>mit linkem  Mausklick öffnen,</t>
  </si>
  <si>
    <t>Damit die Personalabfrage funktionert, musst du nur noch den LeiterCode in Spalte A den Personen zuweisen (einmalig)</t>
  </si>
  <si>
    <t>Der Code setzt sich aus den erste 3 Buchstaben des Vornamen und Nachnamen zusammen</t>
  </si>
  <si>
    <r>
      <rPr>
        <b/>
        <sz val="10"/>
        <rFont val="Arial"/>
        <family val="2"/>
      </rPr>
      <t>retstr für Ret</t>
    </r>
    <r>
      <rPr>
        <sz val="10"/>
        <rFont val="Arial"/>
        <family val="2"/>
      </rPr>
      <t>o</t>
    </r>
    <r>
      <rPr>
        <b/>
        <sz val="10"/>
        <rFont val="Arial"/>
        <family val="2"/>
      </rPr>
      <t xml:space="preserve"> Str</t>
    </r>
    <r>
      <rPr>
        <sz val="10"/>
        <rFont val="Arial"/>
        <family val="2"/>
      </rPr>
      <t>assen</t>
    </r>
  </si>
  <si>
    <t>möchtest du keinen Datenimport, kannst du die Personaldaten mit dem LeiterCode</t>
  </si>
  <si>
    <t xml:space="preserve">abrufen </t>
  </si>
  <si>
    <t xml:space="preserve">Damit die Personaldaten aktualisiert werden, </t>
  </si>
  <si>
    <t>Ikon          auswählen,</t>
  </si>
  <si>
    <t>musst du nach jedem Öffnen des Abrechnungsfiles</t>
  </si>
  <si>
    <t>fertig</t>
  </si>
  <si>
    <t>unter Daten, alle aktualisieren, aufrufen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</si>
</sst>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D_M_-;\-* #,##0.00\ _D_M_-;_-* &quot;-&quot;??\ _D_M_-;_-@_-"/>
    <numFmt numFmtId="165" formatCode="0.0"/>
    <numFmt numFmtId="166" formatCode="#,##0.00\ "/>
    <numFmt numFmtId="167" formatCode="#,##0.00_ ;\-#,##0.00\ "/>
    <numFmt numFmtId="168" formatCode="dd/mm/yy;@"/>
  </numFmts>
  <fonts count="7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6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2"/>
      <color indexed="8"/>
      <name val="Times"/>
      <family val="1"/>
    </font>
    <font>
      <sz val="8"/>
      <name val="Arial"/>
      <family val="2"/>
    </font>
    <font>
      <sz val="12"/>
      <color indexed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2"/>
      <color indexed="55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20"/>
      <color rgb="FFFF0000"/>
      <name val="Arial"/>
      <family val="2"/>
    </font>
    <font>
      <sz val="12"/>
      <color rgb="FFFF0000"/>
      <name val="Arial"/>
      <family val="2"/>
    </font>
    <font>
      <sz val="11"/>
      <color indexed="8"/>
      <name val="Arial"/>
      <family val="2"/>
    </font>
    <font>
      <b/>
      <sz val="10"/>
      <color rgb="FFFF0000"/>
      <name val="Arial"/>
      <family val="2"/>
    </font>
    <font>
      <sz val="20"/>
      <color theme="0"/>
      <name val="Arial"/>
      <family val="2"/>
    </font>
    <font>
      <i/>
      <sz val="10"/>
      <color rgb="FFFF0000"/>
      <name val="Arial"/>
      <family val="2"/>
    </font>
    <font>
      <sz val="18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0"/>
      <color rgb="FF000000"/>
      <name val="Times New Roman"/>
      <family val="1"/>
    </font>
    <font>
      <sz val="12"/>
      <color theme="0"/>
      <name val="Arial"/>
      <family val="2"/>
    </font>
    <font>
      <sz val="8"/>
      <color rgb="FFFF0000"/>
      <name val="Arial"/>
      <family val="2"/>
    </font>
    <font>
      <sz val="14"/>
      <color rgb="FFFF0000"/>
      <name val="Arial"/>
      <family val="2"/>
    </font>
    <font>
      <u/>
      <sz val="10"/>
      <color theme="10"/>
      <name val="Arial"/>
      <family val="2"/>
    </font>
    <font>
      <b/>
      <sz val="26"/>
      <color indexed="18"/>
      <name val="Arial"/>
      <family val="2"/>
    </font>
    <font>
      <sz val="6"/>
      <color indexed="18"/>
      <name val="Arial"/>
      <family val="2"/>
    </font>
    <font>
      <sz val="10"/>
      <color indexed="18"/>
      <name val="Arial"/>
      <family val="2"/>
    </font>
    <font>
      <sz val="8"/>
      <color theme="0"/>
      <name val="Arial"/>
      <family val="2"/>
    </font>
    <font>
      <sz val="7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b/>
      <sz val="8"/>
      <color indexed="8"/>
      <name val="Arial"/>
      <family val="2"/>
    </font>
    <font>
      <sz val="6"/>
      <color rgb="FFFF000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54" fillId="0" borderId="0"/>
    <xf numFmtId="0" fontId="58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4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2" fillId="2" borderId="1" xfId="0" applyFont="1" applyFill="1" applyBorder="1"/>
    <xf numFmtId="0" fontId="3" fillId="0" borderId="1" xfId="0" applyFont="1" applyBorder="1"/>
    <xf numFmtId="0" fontId="0" fillId="2" borderId="1" xfId="0" applyFill="1" applyBorder="1"/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7" fillId="2" borderId="1" xfId="0" applyFont="1" applyFill="1" applyBorder="1"/>
    <xf numFmtId="0" fontId="8" fillId="0" borderId="0" xfId="0" applyFont="1"/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2" borderId="4" xfId="0" applyFont="1" applyFill="1" applyBorder="1"/>
    <xf numFmtId="0" fontId="6" fillId="0" borderId="0" xfId="0" applyFont="1"/>
    <xf numFmtId="0" fontId="10" fillId="0" borderId="0" xfId="0" applyFont="1"/>
    <xf numFmtId="0" fontId="0" fillId="0" borderId="3" xfId="0" applyBorder="1" applyAlignment="1">
      <alignment horizontal="center"/>
    </xf>
    <xf numFmtId="0" fontId="3" fillId="0" borderId="4" xfId="0" applyFont="1" applyBorder="1"/>
    <xf numFmtId="0" fontId="3" fillId="0" borderId="2" xfId="0" applyFont="1" applyBorder="1"/>
    <xf numFmtId="2" fontId="3" fillId="0" borderId="3" xfId="0" applyNumberFormat="1" applyFont="1" applyBorder="1"/>
    <xf numFmtId="2" fontId="0" fillId="0" borderId="0" xfId="0" applyNumberFormat="1"/>
    <xf numFmtId="2" fontId="3" fillId="0" borderId="3" xfId="0" applyNumberFormat="1" applyFont="1" applyBorder="1" applyAlignment="1">
      <alignment horizontal="right"/>
    </xf>
    <xf numFmtId="2" fontId="8" fillId="0" borderId="5" xfId="0" applyNumberFormat="1" applyFont="1" applyBorder="1"/>
    <xf numFmtId="0" fontId="12" fillId="2" borderId="4" xfId="0" applyFont="1" applyFill="1" applyBorder="1"/>
    <xf numFmtId="0" fontId="3" fillId="0" borderId="0" xfId="0" applyFont="1" applyProtection="1">
      <protection locked="0"/>
    </xf>
    <xf numFmtId="0" fontId="12" fillId="0" borderId="0" xfId="0" applyFont="1"/>
    <xf numFmtId="0" fontId="0" fillId="3" borderId="3" xfId="0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8" fillId="3" borderId="4" xfId="0" applyFont="1" applyFill="1" applyBorder="1" applyAlignment="1" applyProtection="1">
      <alignment horizontal="left" indent="1"/>
      <protection locked="0"/>
    </xf>
    <xf numFmtId="0" fontId="8" fillId="3" borderId="2" xfId="0" applyFont="1" applyFill="1" applyBorder="1" applyAlignment="1" applyProtection="1">
      <alignment horizontal="left" indent="1"/>
      <protection locked="0"/>
    </xf>
    <xf numFmtId="2" fontId="3" fillId="3" borderId="3" xfId="0" applyNumberFormat="1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left" indent="1"/>
      <protection locked="0"/>
    </xf>
    <xf numFmtId="0" fontId="8" fillId="0" borderId="4" xfId="0" applyFont="1" applyBorder="1" applyAlignment="1">
      <alignment horizontal="left" indent="1"/>
    </xf>
    <xf numFmtId="0" fontId="5" fillId="2" borderId="4" xfId="0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horizontal="left" vertical="center" indent="1"/>
    </xf>
    <xf numFmtId="0" fontId="0" fillId="2" borderId="1" xfId="0" applyFill="1" applyBorder="1" applyAlignment="1">
      <alignment horizontal="left" vertical="center" indent="1"/>
    </xf>
    <xf numFmtId="0" fontId="8" fillId="0" borderId="9" xfId="0" applyFont="1" applyBorder="1" applyAlignment="1">
      <alignment horizontal="left" indent="1"/>
    </xf>
    <xf numFmtId="2" fontId="3" fillId="0" borderId="10" xfId="0" applyNumberFormat="1" applyFont="1" applyBorder="1"/>
    <xf numFmtId="2" fontId="3" fillId="0" borderId="11" xfId="0" applyNumberFormat="1" applyFont="1" applyBorder="1"/>
    <xf numFmtId="0" fontId="8" fillId="0" borderId="12" xfId="0" applyFont="1" applyBorder="1" applyAlignment="1">
      <alignment horizontal="left" vertical="top" indent="1"/>
    </xf>
    <xf numFmtId="2" fontId="4" fillId="0" borderId="13" xfId="0" applyNumberFormat="1" applyFont="1" applyBorder="1"/>
    <xf numFmtId="0" fontId="8" fillId="0" borderId="14" xfId="0" applyFont="1" applyBorder="1" applyAlignment="1">
      <alignment horizontal="left" indent="1"/>
    </xf>
    <xf numFmtId="0" fontId="8" fillId="0" borderId="15" xfId="0" applyFont="1" applyBorder="1" applyAlignment="1">
      <alignment horizontal="left" indent="1"/>
    </xf>
    <xf numFmtId="0" fontId="8" fillId="0" borderId="16" xfId="0" applyFont="1" applyBorder="1" applyAlignment="1">
      <alignment horizontal="left" indent="1"/>
    </xf>
    <xf numFmtId="0" fontId="8" fillId="0" borderId="10" xfId="0" applyFont="1" applyBorder="1" applyAlignment="1">
      <alignment horizontal="left" indent="1"/>
    </xf>
    <xf numFmtId="0" fontId="2" fillId="2" borderId="2" xfId="0" applyFont="1" applyFill="1" applyBorder="1" applyAlignment="1">
      <alignment horizontal="right" indent="1"/>
    </xf>
    <xf numFmtId="0" fontId="13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wrapText="1" indent="1"/>
    </xf>
    <xf numFmtId="0" fontId="20" fillId="0" borderId="0" xfId="0" applyFont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16" fillId="0" borderId="17" xfId="0" applyFont="1" applyBorder="1" applyAlignment="1">
      <alignment horizontal="left" indent="1"/>
    </xf>
    <xf numFmtId="0" fontId="23" fillId="0" borderId="0" xfId="0" applyFont="1"/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7" fillId="0" borderId="0" xfId="0" applyFont="1" applyAlignment="1">
      <alignment horizontal="right"/>
    </xf>
    <xf numFmtId="0" fontId="28" fillId="0" borderId="0" xfId="0" applyFont="1"/>
    <xf numFmtId="0" fontId="15" fillId="0" borderId="0" xfId="0" applyFont="1"/>
    <xf numFmtId="2" fontId="30" fillId="0" borderId="0" xfId="0" applyNumberFormat="1" applyFont="1"/>
    <xf numFmtId="0" fontId="31" fillId="0" borderId="0" xfId="0" applyFont="1"/>
    <xf numFmtId="0" fontId="32" fillId="0" borderId="19" xfId="0" applyFont="1" applyBorder="1" applyAlignment="1">
      <alignment horizontal="center" vertical="top" wrapText="1"/>
    </xf>
    <xf numFmtId="0" fontId="33" fillId="0" borderId="20" xfId="0" applyFont="1" applyBorder="1" applyAlignment="1">
      <alignment vertical="center" wrapText="1"/>
    </xf>
    <xf numFmtId="0" fontId="34" fillId="0" borderId="21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33" fillId="0" borderId="0" xfId="0" applyFont="1"/>
    <xf numFmtId="0" fontId="30" fillId="0" borderId="0" xfId="0" applyFont="1"/>
    <xf numFmtId="0" fontId="36" fillId="0" borderId="0" xfId="0" applyFont="1"/>
    <xf numFmtId="0" fontId="24" fillId="0" borderId="0" xfId="0" applyFont="1"/>
    <xf numFmtId="0" fontId="35" fillId="0" borderId="0" xfId="0" applyFont="1"/>
    <xf numFmtId="0" fontId="7" fillId="0" borderId="5" xfId="0" applyFont="1" applyBorder="1" applyAlignment="1">
      <alignment vertical="center" wrapText="1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0" borderId="18" xfId="0" applyFont="1" applyBorder="1" applyAlignment="1">
      <alignment vertical="center" wrapText="1"/>
    </xf>
    <xf numFmtId="0" fontId="11" fillId="0" borderId="0" xfId="0" applyFont="1"/>
    <xf numFmtId="0" fontId="7" fillId="0" borderId="0" xfId="0" applyFont="1"/>
    <xf numFmtId="0" fontId="37" fillId="0" borderId="0" xfId="0" applyFont="1"/>
    <xf numFmtId="0" fontId="33" fillId="0" borderId="5" xfId="0" applyFont="1" applyBorder="1" applyAlignment="1">
      <alignment vertical="center" wrapText="1"/>
    </xf>
    <xf numFmtId="4" fontId="33" fillId="3" borderId="19" xfId="0" applyNumberFormat="1" applyFont="1" applyFill="1" applyBorder="1" applyAlignment="1" applyProtection="1">
      <alignment horizontal="center" vertical="top" wrapText="1"/>
      <protection locked="0"/>
    </xf>
    <xf numFmtId="0" fontId="7" fillId="3" borderId="22" xfId="0" applyFont="1" applyFill="1" applyBorder="1" applyAlignment="1">
      <alignment vertical="top" wrapText="1"/>
    </xf>
    <xf numFmtId="0" fontId="7" fillId="3" borderId="23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7" fillId="3" borderId="18" xfId="0" applyFont="1" applyFill="1" applyBorder="1" applyAlignment="1" applyProtection="1">
      <alignment horizontal="left" vertical="top" wrapText="1"/>
      <protection locked="0"/>
    </xf>
    <xf numFmtId="0" fontId="7" fillId="3" borderId="2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/>
    <xf numFmtId="0" fontId="33" fillId="0" borderId="5" xfId="0" applyFont="1" applyBorder="1" applyAlignment="1">
      <alignment wrapText="1"/>
    </xf>
    <xf numFmtId="0" fontId="33" fillId="0" borderId="18" xfId="0" applyFont="1" applyBorder="1" applyAlignment="1">
      <alignment wrapText="1"/>
    </xf>
    <xf numFmtId="0" fontId="3" fillId="0" borderId="0" xfId="0" applyFont="1" applyAlignment="1">
      <alignment wrapText="1"/>
    </xf>
    <xf numFmtId="0" fontId="33" fillId="0" borderId="22" xfId="0" applyFont="1" applyBorder="1" applyAlignment="1">
      <alignment horizontal="left" vertical="top" wrapText="1"/>
    </xf>
    <xf numFmtId="0" fontId="39" fillId="0" borderId="0" xfId="0" applyFont="1"/>
    <xf numFmtId="0" fontId="33" fillId="0" borderId="24" xfId="0" applyFont="1" applyBorder="1" applyAlignment="1">
      <alignment horizontal="left" vertical="top" wrapText="1"/>
    </xf>
    <xf numFmtId="0" fontId="2" fillId="0" borderId="26" xfId="0" applyFont="1" applyBorder="1" applyAlignment="1" applyProtection="1">
      <alignment wrapText="1"/>
      <protection locked="0"/>
    </xf>
    <xf numFmtId="14" fontId="2" fillId="3" borderId="3" xfId="0" applyNumberFormat="1" applyFont="1" applyFill="1" applyBorder="1" applyAlignment="1" applyProtection="1">
      <alignment horizontal="left" vertical="center"/>
      <protection locked="0"/>
    </xf>
    <xf numFmtId="0" fontId="38" fillId="0" borderId="3" xfId="0" applyFont="1" applyBorder="1" applyAlignment="1">
      <alignment horizontal="center" vertical="center" wrapText="1"/>
    </xf>
    <xf numFmtId="166" fontId="24" fillId="0" borderId="20" xfId="2" applyNumberFormat="1" applyFont="1" applyBorder="1" applyAlignment="1" applyProtection="1">
      <alignment horizontal="center" vertical="center" wrapText="1"/>
    </xf>
    <xf numFmtId="0" fontId="24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left" vertical="center" indent="1"/>
      <protection locked="0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8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21" xfId="0" applyFont="1" applyBorder="1" applyAlignment="1">
      <alignment vertical="center" wrapText="1"/>
    </xf>
    <xf numFmtId="0" fontId="3" fillId="0" borderId="27" xfId="0" applyFont="1" applyBorder="1"/>
    <xf numFmtId="0" fontId="3" fillId="0" borderId="28" xfId="0" applyFont="1" applyBorder="1"/>
    <xf numFmtId="0" fontId="23" fillId="0" borderId="0" xfId="3" applyFont="1" applyAlignment="1">
      <alignment vertical="center"/>
    </xf>
    <xf numFmtId="0" fontId="23" fillId="0" borderId="0" xfId="3" applyFont="1"/>
    <xf numFmtId="0" fontId="2" fillId="0" borderId="0" xfId="3" applyFont="1" applyAlignment="1">
      <alignment vertical="center"/>
    </xf>
    <xf numFmtId="0" fontId="2" fillId="0" borderId="0" xfId="3" applyFont="1"/>
    <xf numFmtId="0" fontId="3" fillId="0" borderId="0" xfId="3" applyAlignment="1">
      <alignment horizontal="center"/>
    </xf>
    <xf numFmtId="0" fontId="3" fillId="0" borderId="0" xfId="3" applyAlignment="1">
      <alignment horizontal="right"/>
    </xf>
    <xf numFmtId="1" fontId="3" fillId="0" borderId="6" xfId="3" applyNumberFormat="1" applyBorder="1" applyAlignment="1">
      <alignment horizontal="center" vertical="center"/>
    </xf>
    <xf numFmtId="0" fontId="3" fillId="0" borderId="0" xfId="3"/>
    <xf numFmtId="0" fontId="2" fillId="3" borderId="2" xfId="3" applyFont="1" applyFill="1" applyBorder="1" applyAlignment="1" applyProtection="1">
      <alignment horizontal="left" vertical="center"/>
      <protection locked="0"/>
    </xf>
    <xf numFmtId="0" fontId="3" fillId="0" borderId="29" xfId="3" applyBorder="1" applyAlignment="1">
      <alignment horizontal="right" vertical="center"/>
    </xf>
    <xf numFmtId="0" fontId="3" fillId="3" borderId="3" xfId="3" applyFill="1" applyBorder="1" applyAlignment="1" applyProtection="1">
      <alignment horizontal="center" vertical="center"/>
      <protection locked="0"/>
    </xf>
    <xf numFmtId="0" fontId="2" fillId="3" borderId="3" xfId="3" applyFont="1" applyFill="1" applyBorder="1" applyAlignment="1" applyProtection="1">
      <alignment horizontal="left" vertical="center"/>
      <protection locked="0"/>
    </xf>
    <xf numFmtId="0" fontId="3" fillId="0" borderId="0" xfId="3" applyAlignment="1">
      <alignment horizontal="right" vertical="center"/>
    </xf>
    <xf numFmtId="0" fontId="24" fillId="0" borderId="0" xfId="3" applyFont="1" applyAlignment="1">
      <alignment horizontal="left" vertical="center" wrapText="1" indent="1"/>
    </xf>
    <xf numFmtId="0" fontId="16" fillId="0" borderId="0" xfId="3" applyFont="1" applyAlignment="1">
      <alignment horizontal="left" vertical="center" indent="1"/>
    </xf>
    <xf numFmtId="0" fontId="16" fillId="0" borderId="0" xfId="3" applyFont="1"/>
    <xf numFmtId="0" fontId="24" fillId="0" borderId="0" xfId="3" applyFont="1" applyAlignment="1">
      <alignment wrapText="1"/>
    </xf>
    <xf numFmtId="0" fontId="5" fillId="0" borderId="0" xfId="3" applyFont="1" applyAlignment="1">
      <alignment horizontal="left" vertical="center"/>
    </xf>
    <xf numFmtId="0" fontId="10" fillId="0" borderId="0" xfId="3" applyFont="1" applyAlignment="1">
      <alignment vertical="center"/>
    </xf>
    <xf numFmtId="0" fontId="2" fillId="0" borderId="29" xfId="3" applyFont="1" applyBorder="1" applyAlignment="1">
      <alignment vertical="center" wrapText="1"/>
    </xf>
    <xf numFmtId="0" fontId="2" fillId="0" borderId="0" xfId="3" applyFont="1" applyAlignment="1">
      <alignment vertical="center" wrapText="1"/>
    </xf>
    <xf numFmtId="14" fontId="2" fillId="3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38" fillId="0" borderId="3" xfId="0" applyFont="1" applyBorder="1" applyAlignment="1">
      <alignment horizontal="right" vertical="center" wrapText="1"/>
    </xf>
    <xf numFmtId="0" fontId="5" fillId="3" borderId="3" xfId="0" applyFont="1" applyFill="1" applyBorder="1" applyAlignment="1" applyProtection="1">
      <alignment horizontal="center" vertical="center"/>
      <protection locked="0"/>
    </xf>
    <xf numFmtId="2" fontId="5" fillId="3" borderId="3" xfId="0" applyNumberFormat="1" applyFont="1" applyFill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5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30" xfId="0" applyFont="1" applyBorder="1" applyAlignment="1">
      <alignment horizontal="right" vertical="center"/>
    </xf>
    <xf numFmtId="1" fontId="5" fillId="3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3" fillId="0" borderId="8" xfId="3" applyFont="1" applyBorder="1"/>
    <xf numFmtId="0" fontId="23" fillId="0" borderId="25" xfId="3" applyFont="1" applyBorder="1"/>
    <xf numFmtId="0" fontId="3" fillId="0" borderId="8" xfId="3" applyBorder="1" applyAlignment="1">
      <alignment horizontal="right"/>
    </xf>
    <xf numFmtId="0" fontId="3" fillId="0" borderId="30" xfId="3" applyBorder="1"/>
    <xf numFmtId="0" fontId="3" fillId="0" borderId="17" xfId="3" applyBorder="1"/>
    <xf numFmtId="0" fontId="3" fillId="0" borderId="31" xfId="3" applyBorder="1"/>
    <xf numFmtId="0" fontId="23" fillId="0" borderId="2" xfId="3" applyFont="1" applyBorder="1"/>
    <xf numFmtId="0" fontId="30" fillId="0" borderId="0" xfId="0" applyFont="1" applyAlignment="1">
      <alignment horizontal="left"/>
    </xf>
    <xf numFmtId="0" fontId="5" fillId="2" borderId="2" xfId="0" applyFont="1" applyFill="1" applyBorder="1" applyAlignment="1">
      <alignment horizontal="right" vertical="center" indent="1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2" xfId="0" applyFont="1" applyFill="1" applyBorder="1" applyAlignment="1" applyProtection="1">
      <alignment horizontal="center" vertical="center"/>
      <protection locked="0"/>
    </xf>
    <xf numFmtId="0" fontId="26" fillId="0" borderId="0" xfId="3" applyFont="1" applyAlignment="1">
      <alignment vertical="center"/>
    </xf>
    <xf numFmtId="0" fontId="26" fillId="0" borderId="3" xfId="3" applyFont="1" applyBorder="1" applyAlignment="1">
      <alignment horizontal="center" vertical="center"/>
    </xf>
    <xf numFmtId="0" fontId="40" fillId="3" borderId="3" xfId="0" applyFont="1" applyFill="1" applyBorder="1" applyAlignment="1" applyProtection="1">
      <alignment horizontal="center" vertical="center"/>
      <protection locked="0"/>
    </xf>
    <xf numFmtId="0" fontId="4" fillId="0" borderId="0" xfId="3" applyFont="1"/>
    <xf numFmtId="0" fontId="3" fillId="0" borderId="0" xfId="3" applyAlignment="1">
      <alignment horizontal="left" indent="1"/>
    </xf>
    <xf numFmtId="0" fontId="23" fillId="0" borderId="0" xfId="0" applyFont="1" applyAlignment="1">
      <alignment vertical="center"/>
    </xf>
    <xf numFmtId="4" fontId="3" fillId="3" borderId="11" xfId="0" applyNumberFormat="1" applyFont="1" applyFill="1" applyBorder="1" applyProtection="1">
      <protection locked="0"/>
    </xf>
    <xf numFmtId="4" fontId="4" fillId="3" borderId="33" xfId="0" applyNumberFormat="1" applyFont="1" applyFill="1" applyBorder="1" applyProtection="1">
      <protection locked="0"/>
    </xf>
    <xf numFmtId="4" fontId="3" fillId="3" borderId="10" xfId="0" applyNumberFormat="1" applyFont="1" applyFill="1" applyBorder="1" applyProtection="1">
      <protection locked="0"/>
    </xf>
    <xf numFmtId="167" fontId="8" fillId="3" borderId="3" xfId="2" applyNumberFormat="1" applyFont="1" applyFill="1" applyBorder="1" applyProtection="1">
      <protection locked="0"/>
    </xf>
    <xf numFmtId="0" fontId="42" fillId="0" borderId="0" xfId="0" applyFont="1"/>
    <xf numFmtId="0" fontId="42" fillId="0" borderId="0" xfId="0" applyFont="1" applyProtection="1">
      <protection hidden="1"/>
    </xf>
    <xf numFmtId="0" fontId="43" fillId="0" borderId="0" xfId="0" applyFont="1" applyProtection="1">
      <protection hidden="1"/>
    </xf>
    <xf numFmtId="0" fontId="3" fillId="0" borderId="3" xfId="3" applyBorder="1"/>
    <xf numFmtId="0" fontId="3" fillId="0" borderId="3" xfId="3" applyBorder="1" applyAlignment="1">
      <alignment vertical="center"/>
    </xf>
    <xf numFmtId="0" fontId="3" fillId="0" borderId="0" xfId="0" applyFont="1" applyAlignment="1">
      <alignment horizontal="right" vertical="center"/>
    </xf>
    <xf numFmtId="0" fontId="44" fillId="0" borderId="0" xfId="3" applyFont="1"/>
    <xf numFmtId="0" fontId="5" fillId="0" borderId="1" xfId="0" applyFont="1" applyBorder="1" applyAlignment="1">
      <alignment horizontal="right" indent="1"/>
    </xf>
    <xf numFmtId="0" fontId="5" fillId="0" borderId="36" xfId="0" applyFont="1" applyBorder="1" applyAlignment="1">
      <alignment horizontal="right" indent="1"/>
    </xf>
    <xf numFmtId="0" fontId="3" fillId="0" borderId="0" xfId="0" applyFont="1" applyAlignment="1">
      <alignment horizontal="center"/>
    </xf>
    <xf numFmtId="0" fontId="3" fillId="0" borderId="25" xfId="0" applyFont="1" applyBorder="1"/>
    <xf numFmtId="0" fontId="5" fillId="0" borderId="4" xfId="0" applyFont="1" applyBorder="1" applyAlignment="1">
      <alignment horizontal="left" indent="1"/>
    </xf>
    <xf numFmtId="0" fontId="47" fillId="0" borderId="20" xfId="0" applyFont="1" applyBorder="1" applyAlignment="1">
      <alignment vertical="center" wrapText="1"/>
    </xf>
    <xf numFmtId="0" fontId="44" fillId="0" borderId="0" xfId="0" applyFont="1"/>
    <xf numFmtId="0" fontId="1" fillId="3" borderId="3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1" fillId="3" borderId="4" xfId="0" applyFont="1" applyFill="1" applyBorder="1" applyAlignment="1" applyProtection="1">
      <alignment horizontal="left" vertical="center" indent="1"/>
      <protection locked="0"/>
    </xf>
    <xf numFmtId="0" fontId="1" fillId="3" borderId="1" xfId="0" applyFont="1" applyFill="1" applyBorder="1" applyAlignment="1" applyProtection="1">
      <alignment horizontal="left" vertical="center" indent="1"/>
      <protection locked="0"/>
    </xf>
    <xf numFmtId="0" fontId="1" fillId="3" borderId="2" xfId="0" applyFont="1" applyFill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>
      <alignment horizontal="center"/>
    </xf>
    <xf numFmtId="0" fontId="42" fillId="0" borderId="0" xfId="3" applyFont="1"/>
    <xf numFmtId="0" fontId="3" fillId="0" borderId="1" xfId="0" applyFont="1" applyBorder="1" applyAlignment="1">
      <alignment horizontal="left" vertical="center" indent="1"/>
    </xf>
    <xf numFmtId="0" fontId="5" fillId="2" borderId="4" xfId="4" applyFont="1" applyFill="1" applyBorder="1"/>
    <xf numFmtId="0" fontId="7" fillId="2" borderId="1" xfId="4" applyFont="1" applyFill="1" applyBorder="1"/>
    <xf numFmtId="0" fontId="1" fillId="2" borderId="1" xfId="4" applyFill="1" applyBorder="1"/>
    <xf numFmtId="0" fontId="1" fillId="2" borderId="1" xfId="4" applyFill="1" applyBorder="1" applyAlignment="1">
      <alignment horizontal="right"/>
    </xf>
    <xf numFmtId="0" fontId="2" fillId="2" borderId="2" xfId="4" applyFont="1" applyFill="1" applyBorder="1" applyAlignment="1">
      <alignment horizontal="right" indent="1"/>
    </xf>
    <xf numFmtId="0" fontId="1" fillId="0" borderId="0" xfId="4"/>
    <xf numFmtId="0" fontId="13" fillId="0" borderId="0" xfId="4" applyFont="1" applyAlignment="1">
      <alignment horizontal="center" vertical="center"/>
    </xf>
    <xf numFmtId="0" fontId="8" fillId="0" borderId="0" xfId="4" applyFont="1"/>
    <xf numFmtId="0" fontId="44" fillId="0" borderId="0" xfId="4" applyFont="1"/>
    <xf numFmtId="0" fontId="2" fillId="0" borderId="0" xfId="4" applyFont="1"/>
    <xf numFmtId="0" fontId="9" fillId="0" borderId="0" xfId="4" applyFont="1" applyAlignment="1">
      <alignment horizontal="right"/>
    </xf>
    <xf numFmtId="0" fontId="8" fillId="0" borderId="3" xfId="4" applyFont="1" applyBorder="1" applyAlignment="1">
      <alignment horizontal="center"/>
    </xf>
    <xf numFmtId="0" fontId="8" fillId="3" borderId="4" xfId="4" applyFont="1" applyFill="1" applyBorder="1" applyAlignment="1" applyProtection="1">
      <alignment horizontal="left" indent="1"/>
      <protection locked="0"/>
    </xf>
    <xf numFmtId="0" fontId="8" fillId="3" borderId="1" xfId="4" applyFont="1" applyFill="1" applyBorder="1" applyAlignment="1" applyProtection="1">
      <alignment horizontal="left" indent="1"/>
      <protection locked="0"/>
    </xf>
    <xf numFmtId="0" fontId="8" fillId="3" borderId="2" xfId="4" applyFont="1" applyFill="1" applyBorder="1" applyAlignment="1" applyProtection="1">
      <alignment horizontal="left" indent="1"/>
      <protection locked="0"/>
    </xf>
    <xf numFmtId="2" fontId="4" fillId="0" borderId="3" xfId="4" applyNumberFormat="1" applyFont="1" applyBorder="1"/>
    <xf numFmtId="2" fontId="1" fillId="0" borderId="0" xfId="4" applyNumberFormat="1"/>
    <xf numFmtId="0" fontId="1" fillId="0" borderId="4" xfId="0" applyFont="1" applyBorder="1" applyAlignment="1">
      <alignment horizontal="left" vertical="center" indent="1"/>
    </xf>
    <xf numFmtId="0" fontId="51" fillId="0" borderId="0" xfId="3" applyFont="1" applyAlignment="1" applyProtection="1">
      <alignment vertical="center"/>
      <protection locked="0"/>
    </xf>
    <xf numFmtId="0" fontId="50" fillId="0" borderId="0" xfId="0" applyFont="1"/>
    <xf numFmtId="0" fontId="13" fillId="0" borderId="0" xfId="3" applyFont="1" applyAlignment="1">
      <alignment horizontal="right" vertical="center"/>
    </xf>
    <xf numFmtId="0" fontId="13" fillId="0" borderId="0" xfId="0" applyFont="1" applyAlignment="1">
      <alignment horizontal="right"/>
    </xf>
    <xf numFmtId="0" fontId="53" fillId="0" borderId="0" xfId="0" applyFont="1"/>
    <xf numFmtId="0" fontId="1" fillId="0" borderId="0" xfId="3" applyFont="1" applyAlignment="1">
      <alignment horizontal="right" vertical="center"/>
    </xf>
    <xf numFmtId="0" fontId="1" fillId="3" borderId="3" xfId="3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 indent="1"/>
    </xf>
    <xf numFmtId="0" fontId="2" fillId="0" borderId="0" xfId="0" quotePrefix="1" applyFont="1"/>
    <xf numFmtId="0" fontId="1" fillId="0" borderId="0" xfId="0" applyFont="1" applyAlignment="1">
      <alignment horizontal="center" vertical="center"/>
    </xf>
    <xf numFmtId="0" fontId="6" fillId="0" borderId="0" xfId="3" applyFont="1"/>
    <xf numFmtId="0" fontId="1" fillId="0" borderId="0" xfId="3" quotePrefix="1" applyFont="1" applyAlignment="1">
      <alignment horizontal="left" indent="1"/>
    </xf>
    <xf numFmtId="0" fontId="6" fillId="4" borderId="0" xfId="3" applyFont="1" applyFill="1"/>
    <xf numFmtId="0" fontId="3" fillId="4" borderId="0" xfId="3" applyFill="1"/>
    <xf numFmtId="0" fontId="44" fillId="0" borderId="0" xfId="3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42" fillId="0" borderId="0" xfId="3" applyFont="1" applyAlignment="1">
      <alignment horizontal="center" vertical="center"/>
    </xf>
    <xf numFmtId="0" fontId="0" fillId="0" borderId="17" xfId="0" applyBorder="1" applyAlignment="1">
      <alignment vertical="center"/>
    </xf>
    <xf numFmtId="0" fontId="1" fillId="0" borderId="3" xfId="3" applyFont="1" applyBorder="1" applyAlignment="1">
      <alignment vertical="center"/>
    </xf>
    <xf numFmtId="14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44" fillId="0" borderId="0" xfId="3" applyFont="1" applyAlignment="1">
      <alignment vertical="center"/>
    </xf>
    <xf numFmtId="0" fontId="42" fillId="0" borderId="0" xfId="3" applyFont="1" applyAlignment="1">
      <alignment horizontal="left"/>
    </xf>
    <xf numFmtId="0" fontId="10" fillId="0" borderId="0" xfId="3" applyFont="1" applyAlignment="1">
      <alignment horizontal="right" vertical="center"/>
    </xf>
    <xf numFmtId="0" fontId="46" fillId="0" borderId="0" xfId="3" applyFont="1" applyAlignment="1">
      <alignment vertical="center"/>
    </xf>
    <xf numFmtId="0" fontId="45" fillId="0" borderId="0" xfId="3" applyFont="1" applyAlignment="1">
      <alignment vertical="center"/>
    </xf>
    <xf numFmtId="0" fontId="33" fillId="0" borderId="21" xfId="0" applyFont="1" applyBorder="1" applyAlignment="1">
      <alignment wrapText="1"/>
    </xf>
    <xf numFmtId="0" fontId="33" fillId="0" borderId="19" xfId="0" applyFont="1" applyBorder="1" applyAlignment="1">
      <alignment wrapText="1"/>
    </xf>
    <xf numFmtId="0" fontId="32" fillId="0" borderId="19" xfId="0" applyFont="1" applyBorder="1" applyAlignment="1">
      <alignment vertical="top" wrapText="1"/>
    </xf>
    <xf numFmtId="0" fontId="46" fillId="0" borderId="0" xfId="3" applyFont="1"/>
    <xf numFmtId="0" fontId="1" fillId="0" borderId="4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57" fillId="0" borderId="24" xfId="0" applyFont="1" applyBorder="1" applyAlignment="1">
      <alignment vertical="center"/>
    </xf>
    <xf numFmtId="0" fontId="57" fillId="0" borderId="34" xfId="0" applyFont="1" applyBorder="1" applyAlignment="1">
      <alignment vertical="center"/>
    </xf>
    <xf numFmtId="0" fontId="57" fillId="0" borderId="23" xfId="0" applyFont="1" applyBorder="1" applyAlignment="1">
      <alignment vertical="center"/>
    </xf>
    <xf numFmtId="0" fontId="57" fillId="0" borderId="26" xfId="0" applyFont="1" applyBorder="1" applyAlignment="1">
      <alignment vertical="center"/>
    </xf>
    <xf numFmtId="0" fontId="57" fillId="0" borderId="35" xfId="0" applyFont="1" applyBorder="1" applyAlignment="1">
      <alignment vertical="center"/>
    </xf>
    <xf numFmtId="0" fontId="57" fillId="0" borderId="2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7" xfId="3" applyFont="1" applyBorder="1" applyAlignment="1">
      <alignment horizontal="center" vertical="center"/>
    </xf>
    <xf numFmtId="0" fontId="56" fillId="0" borderId="0" xfId="3" applyFont="1" applyAlignment="1">
      <alignment horizontal="left" vertical="center"/>
    </xf>
    <xf numFmtId="0" fontId="44" fillId="0" borderId="0" xfId="3" applyFont="1" applyAlignment="1">
      <alignment horizontal="left" vertical="center"/>
    </xf>
    <xf numFmtId="0" fontId="46" fillId="0" borderId="0" xfId="3" applyFont="1" applyAlignment="1">
      <alignment horizontal="left" vertical="center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center" vertical="center"/>
      <protection locked="0"/>
    </xf>
    <xf numFmtId="0" fontId="42" fillId="0" borderId="0" xfId="3" applyFont="1" applyAlignment="1">
      <alignment horizontal="right" vertical="center"/>
    </xf>
    <xf numFmtId="0" fontId="42" fillId="0" borderId="0" xfId="3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58" fillId="0" borderId="0" xfId="6" applyProtection="1"/>
    <xf numFmtId="0" fontId="13" fillId="0" borderId="0" xfId="0" applyFont="1" applyAlignment="1">
      <alignment horizontal="right" vertical="center"/>
    </xf>
    <xf numFmtId="0" fontId="26" fillId="0" borderId="0" xfId="0" applyFont="1"/>
    <xf numFmtId="0" fontId="1" fillId="6" borderId="0" xfId="3" applyFont="1" applyFill="1" applyAlignment="1">
      <alignment horizontal="left" indent="1"/>
    </xf>
    <xf numFmtId="0" fontId="3" fillId="6" borderId="0" xfId="3" applyFill="1"/>
    <xf numFmtId="0" fontId="1" fillId="6" borderId="0" xfId="3" quotePrefix="1" applyFont="1" applyFill="1"/>
    <xf numFmtId="0" fontId="1" fillId="6" borderId="0" xfId="3" applyFont="1" applyFill="1"/>
    <xf numFmtId="0" fontId="46" fillId="0" borderId="0" xfId="3" applyFont="1" applyAlignment="1">
      <alignment horizontal="left" vertical="center" indent="1"/>
    </xf>
    <xf numFmtId="0" fontId="45" fillId="0" borderId="0" xfId="3" applyFont="1"/>
    <xf numFmtId="0" fontId="3" fillId="5" borderId="3" xfId="3" applyFill="1" applyBorder="1" applyAlignment="1" applyProtection="1">
      <alignment horizontal="center" vertical="center"/>
      <protection locked="0"/>
    </xf>
    <xf numFmtId="0" fontId="44" fillId="4" borderId="0" xfId="3" quotePrefix="1" applyFont="1" applyFill="1" applyAlignment="1">
      <alignment horizontal="left" indent="1"/>
    </xf>
    <xf numFmtId="0" fontId="12" fillId="0" borderId="0" xfId="0" applyFont="1" applyAlignment="1" applyProtection="1">
      <alignment horizontal="right" vertical="center"/>
      <protection locked="0"/>
    </xf>
    <xf numFmtId="0" fontId="51" fillId="0" borderId="0" xfId="0" applyFont="1" applyAlignment="1">
      <alignment vertical="center"/>
    </xf>
    <xf numFmtId="0" fontId="37" fillId="0" borderId="29" xfId="0" applyFont="1" applyBorder="1" applyAlignment="1">
      <alignment vertical="top" wrapText="1"/>
    </xf>
    <xf numFmtId="0" fontId="37" fillId="0" borderId="37" xfId="0" applyFont="1" applyBorder="1" applyAlignment="1">
      <alignment vertical="top" wrapText="1"/>
    </xf>
    <xf numFmtId="0" fontId="2" fillId="0" borderId="0" xfId="0" applyFont="1" applyAlignment="1" applyProtection="1">
      <alignment vertical="center"/>
      <protection locked="0"/>
    </xf>
    <xf numFmtId="0" fontId="2" fillId="0" borderId="25" xfId="0" applyFont="1" applyBorder="1" applyAlignment="1">
      <alignment vertical="center"/>
    </xf>
    <xf numFmtId="0" fontId="60" fillId="0" borderId="0" xfId="7" applyFont="1" applyAlignment="1">
      <alignment horizontal="right" vertical="top" wrapText="1"/>
    </xf>
    <xf numFmtId="0" fontId="23" fillId="0" borderId="0" xfId="7" applyFont="1"/>
    <xf numFmtId="0" fontId="46" fillId="0" borderId="0" xfId="7" applyFont="1"/>
    <xf numFmtId="0" fontId="45" fillId="0" borderId="0" xfId="7" applyFont="1"/>
    <xf numFmtId="0" fontId="1" fillId="0" borderId="0" xfId="7"/>
    <xf numFmtId="0" fontId="2" fillId="0" borderId="0" xfId="7" applyFont="1"/>
    <xf numFmtId="0" fontId="1" fillId="0" borderId="0" xfId="7" applyAlignment="1">
      <alignment horizontal="center"/>
    </xf>
    <xf numFmtId="0" fontId="23" fillId="0" borderId="2" xfId="7" applyFont="1" applyBorder="1"/>
    <xf numFmtId="168" fontId="2" fillId="3" borderId="3" xfId="7" applyNumberFormat="1" applyFont="1" applyFill="1" applyBorder="1" applyAlignment="1" applyProtection="1">
      <alignment horizontal="left" vertical="center"/>
      <protection locked="0"/>
    </xf>
    <xf numFmtId="1" fontId="1" fillId="0" borderId="3" xfId="7" applyNumberFormat="1" applyBorder="1" applyAlignment="1">
      <alignment horizontal="center" vertical="center"/>
    </xf>
    <xf numFmtId="0" fontId="55" fillId="0" borderId="0" xfId="7" applyFont="1" applyAlignment="1">
      <alignment horizontal="center"/>
    </xf>
    <xf numFmtId="0" fontId="49" fillId="0" borderId="0" xfId="7" applyFont="1"/>
    <xf numFmtId="0" fontId="44" fillId="0" borderId="0" xfId="7" applyFont="1"/>
    <xf numFmtId="0" fontId="2" fillId="0" borderId="0" xfId="7" applyFont="1" applyAlignment="1">
      <alignment horizontal="center"/>
    </xf>
    <xf numFmtId="1" fontId="10" fillId="0" borderId="0" xfId="7" applyNumberFormat="1" applyFont="1" applyAlignment="1">
      <alignment horizontal="center" vertical="center"/>
    </xf>
    <xf numFmtId="0" fontId="1" fillId="3" borderId="3" xfId="7" applyFill="1" applyBorder="1" applyAlignment="1" applyProtection="1">
      <alignment horizontal="center" vertical="center"/>
      <protection locked="0"/>
    </xf>
    <xf numFmtId="0" fontId="1" fillId="0" borderId="3" xfId="7" applyBorder="1" applyAlignment="1">
      <alignment horizontal="center"/>
    </xf>
    <xf numFmtId="0" fontId="62" fillId="0" borderId="0" xfId="7" applyFont="1"/>
    <xf numFmtId="0" fontId="42" fillId="0" borderId="0" xfId="7" applyFont="1"/>
    <xf numFmtId="0" fontId="26" fillId="0" borderId="0" xfId="7" applyFont="1" applyAlignment="1">
      <alignment horizontal="left" vertical="center" indent="1"/>
    </xf>
    <xf numFmtId="0" fontId="63" fillId="0" borderId="29" xfId="7" applyFont="1" applyBorder="1" applyAlignment="1">
      <alignment wrapText="1"/>
    </xf>
    <xf numFmtId="0" fontId="26" fillId="0" borderId="4" xfId="7" applyFont="1" applyBorder="1" applyAlignment="1">
      <alignment horizontal="left" vertical="center" indent="1"/>
    </xf>
    <xf numFmtId="0" fontId="63" fillId="0" borderId="4" xfId="7" applyFont="1" applyBorder="1" applyAlignment="1">
      <alignment horizontal="left" vertical="center" wrapText="1"/>
    </xf>
    <xf numFmtId="0" fontId="64" fillId="0" borderId="17" xfId="7" applyFont="1" applyBorder="1" applyAlignment="1">
      <alignment horizontal="left" vertical="center" indent="1"/>
    </xf>
    <xf numFmtId="0" fontId="1" fillId="0" borderId="17" xfId="7" applyBorder="1"/>
    <xf numFmtId="0" fontId="1" fillId="0" borderId="3" xfId="7" applyBorder="1" applyAlignment="1">
      <alignment vertical="center"/>
    </xf>
    <xf numFmtId="0" fontId="1" fillId="0" borderId="3" xfId="7" applyBorder="1" applyAlignment="1">
      <alignment horizontal="center" vertical="center"/>
    </xf>
    <xf numFmtId="0" fontId="1" fillId="0" borderId="3" xfId="7" applyBorder="1" applyAlignment="1">
      <alignment horizontal="right" vertical="center" wrapText="1" indent="1"/>
    </xf>
    <xf numFmtId="0" fontId="1" fillId="0" borderId="4" xfId="7" applyBorder="1" applyAlignment="1">
      <alignment horizontal="right" vertical="center" wrapText="1" indent="1"/>
    </xf>
    <xf numFmtId="0" fontId="4" fillId="0" borderId="2" xfId="7" applyFont="1" applyBorder="1" applyAlignment="1">
      <alignment horizontal="center" vertical="center" wrapText="1"/>
    </xf>
    <xf numFmtId="0" fontId="4" fillId="0" borderId="3" xfId="7" applyFont="1" applyBorder="1" applyAlignment="1">
      <alignment horizontal="center" vertical="center" wrapText="1"/>
    </xf>
    <xf numFmtId="0" fontId="4" fillId="0" borderId="3" xfId="7" applyFont="1" applyBorder="1" applyAlignment="1">
      <alignment horizontal="right" vertical="center" indent="1"/>
    </xf>
    <xf numFmtId="0" fontId="4" fillId="0" borderId="4" xfId="7" applyFont="1" applyBorder="1" applyAlignment="1">
      <alignment horizontal="left" vertical="center" indent="1"/>
    </xf>
    <xf numFmtId="0" fontId="4" fillId="0" borderId="2" xfId="7" applyFont="1" applyBorder="1" applyAlignment="1">
      <alignment vertical="center"/>
    </xf>
    <xf numFmtId="2" fontId="1" fillId="0" borderId="3" xfId="7" applyNumberFormat="1" applyBorder="1" applyAlignment="1">
      <alignment horizontal="right" vertical="center" indent="1"/>
    </xf>
    <xf numFmtId="2" fontId="1" fillId="0" borderId="4" xfId="7" applyNumberFormat="1" applyBorder="1" applyAlignment="1">
      <alignment horizontal="left" vertical="center" indent="2"/>
    </xf>
    <xf numFmtId="4" fontId="1" fillId="0" borderId="3" xfId="7" applyNumberFormat="1" applyBorder="1" applyAlignment="1">
      <alignment horizontal="right" vertical="center" indent="1"/>
    </xf>
    <xf numFmtId="4" fontId="1" fillId="3" borderId="3" xfId="7" applyNumberFormat="1" applyFill="1" applyBorder="1" applyAlignment="1" applyProtection="1">
      <alignment horizontal="right" vertical="center" indent="1"/>
      <protection locked="0"/>
    </xf>
    <xf numFmtId="4" fontId="1" fillId="0" borderId="3" xfId="7" applyNumberFormat="1" applyBorder="1" applyAlignment="1" applyProtection="1">
      <alignment horizontal="right" vertical="center" indent="1"/>
      <protection hidden="1"/>
    </xf>
    <xf numFmtId="0" fontId="1" fillId="0" borderId="3" xfId="7" applyBorder="1" applyAlignment="1">
      <alignment horizontal="right" vertical="center" indent="1"/>
    </xf>
    <xf numFmtId="0" fontId="1" fillId="0" borderId="3" xfId="7" applyBorder="1" applyAlignment="1" applyProtection="1">
      <alignment horizontal="center" vertical="center"/>
      <protection hidden="1"/>
    </xf>
    <xf numFmtId="4" fontId="1" fillId="3" borderId="2" xfId="7" applyNumberFormat="1" applyFill="1" applyBorder="1" applyAlignment="1" applyProtection="1">
      <alignment vertical="center"/>
      <protection locked="0"/>
    </xf>
    <xf numFmtId="0" fontId="18" fillId="0" borderId="1" xfId="7" applyFont="1" applyBorder="1" applyAlignment="1">
      <alignment horizontal="left" vertical="center" indent="1"/>
    </xf>
    <xf numFmtId="4" fontId="1" fillId="0" borderId="1" xfId="7" applyNumberFormat="1" applyBorder="1" applyAlignment="1">
      <alignment horizontal="center" vertical="center"/>
    </xf>
    <xf numFmtId="2" fontId="1" fillId="0" borderId="1" xfId="7" applyNumberFormat="1" applyBorder="1" applyAlignment="1">
      <alignment horizontal="right" vertical="center" indent="1"/>
    </xf>
    <xf numFmtId="0" fontId="1" fillId="0" borderId="1" xfId="7" applyBorder="1" applyAlignment="1">
      <alignment vertical="center"/>
    </xf>
    <xf numFmtId="4" fontId="4" fillId="0" borderId="1" xfId="7" applyNumberFormat="1" applyFont="1" applyBorder="1" applyAlignment="1">
      <alignment horizontal="right" vertical="center" indent="1"/>
    </xf>
    <xf numFmtId="4" fontId="1" fillId="0" borderId="29" xfId="7" applyNumberFormat="1" applyBorder="1" applyAlignment="1">
      <alignment horizontal="right" vertical="center" indent="1"/>
    </xf>
    <xf numFmtId="0" fontId="1" fillId="0" borderId="35" xfId="7" applyBorder="1" applyAlignment="1">
      <alignment horizontal="center"/>
    </xf>
    <xf numFmtId="0" fontId="68" fillId="0" borderId="5" xfId="7" applyFont="1" applyBorder="1" applyAlignment="1">
      <alignment horizontal="left" vertical="center" indent="1"/>
    </xf>
    <xf numFmtId="0" fontId="61" fillId="0" borderId="5" xfId="7" applyFont="1" applyBorder="1"/>
    <xf numFmtId="0" fontId="61" fillId="0" borderId="21" xfId="7" applyFont="1" applyBorder="1"/>
    <xf numFmtId="0" fontId="61" fillId="0" borderId="19" xfId="7" applyFont="1" applyBorder="1"/>
    <xf numFmtId="4" fontId="22" fillId="7" borderId="5" xfId="7" applyNumberFormat="1" applyFont="1" applyFill="1" applyBorder="1" applyAlignment="1">
      <alignment horizontal="right" vertical="center" indent="1"/>
    </xf>
    <xf numFmtId="164" fontId="1" fillId="0" borderId="0" xfId="2" applyFont="1" applyAlignment="1" applyProtection="1">
      <alignment horizontal="center" vertical="center"/>
    </xf>
    <xf numFmtId="4" fontId="1" fillId="0" borderId="0" xfId="7" applyNumberFormat="1"/>
    <xf numFmtId="0" fontId="10" fillId="0" borderId="0" xfId="7" applyFont="1" applyAlignment="1">
      <alignment horizontal="right"/>
    </xf>
    <xf numFmtId="0" fontId="52" fillId="0" borderId="25" xfId="0" applyFont="1" applyBorder="1" applyAlignment="1">
      <alignment horizontal="right" vertical="center"/>
    </xf>
    <xf numFmtId="0" fontId="52" fillId="0" borderId="30" xfId="0" applyFont="1" applyBorder="1" applyAlignment="1">
      <alignment vertical="center"/>
    </xf>
    <xf numFmtId="0" fontId="52" fillId="0" borderId="17" xfId="0" applyFont="1" applyBorder="1" applyAlignment="1">
      <alignment vertical="center"/>
    </xf>
    <xf numFmtId="0" fontId="52" fillId="0" borderId="31" xfId="0" applyFont="1" applyBorder="1" applyAlignment="1">
      <alignment horizontal="right" vertical="center"/>
    </xf>
    <xf numFmtId="4" fontId="44" fillId="0" borderId="0" xfId="7" applyNumberFormat="1" applyFont="1" applyAlignment="1">
      <alignment horizontal="right" vertical="center"/>
    </xf>
    <xf numFmtId="4" fontId="44" fillId="0" borderId="0" xfId="7" applyNumberFormat="1" applyFont="1" applyAlignment="1">
      <alignment horizontal="left" vertical="center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14" fillId="3" borderId="2" xfId="0" applyFont="1" applyFill="1" applyBorder="1" applyAlignment="1" applyProtection="1">
      <alignment horizontal="left" vertical="center"/>
      <protection locked="0"/>
    </xf>
    <xf numFmtId="0" fontId="14" fillId="3" borderId="1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 wrapText="1"/>
    </xf>
    <xf numFmtId="165" fontId="1" fillId="0" borderId="0" xfId="0" quotePrefix="1" applyNumberFormat="1" applyFont="1" applyAlignment="1">
      <alignment horizontal="left" vertical="center"/>
    </xf>
    <xf numFmtId="0" fontId="10" fillId="0" borderId="0" xfId="0" applyFont="1" applyAlignment="1">
      <alignment horizontal="right"/>
    </xf>
    <xf numFmtId="0" fontId="44" fillId="8" borderId="0" xfId="0" applyFont="1" applyFill="1" applyProtection="1">
      <protection hidden="1"/>
    </xf>
    <xf numFmtId="4" fontId="0" fillId="0" borderId="3" xfId="0" applyNumberFormat="1" applyBorder="1"/>
    <xf numFmtId="4" fontId="0" fillId="3" borderId="3" xfId="0" applyNumberFormat="1" applyFill="1" applyBorder="1" applyProtection="1">
      <protection locked="0"/>
    </xf>
    <xf numFmtId="4" fontId="5" fillId="0" borderId="5" xfId="0" applyNumberFormat="1" applyFont="1" applyBorder="1" applyAlignment="1">
      <alignment horizontal="right" vertical="center"/>
    </xf>
    <xf numFmtId="4" fontId="3" fillId="3" borderId="3" xfId="0" applyNumberFormat="1" applyFont="1" applyFill="1" applyBorder="1" applyProtection="1">
      <protection locked="0"/>
    </xf>
    <xf numFmtId="4" fontId="3" fillId="0" borderId="0" xfId="0" applyNumberFormat="1" applyFont="1" applyAlignment="1">
      <alignment horizontal="center"/>
    </xf>
    <xf numFmtId="4" fontId="11" fillId="0" borderId="5" xfId="0" applyNumberFormat="1" applyFont="1" applyBorder="1"/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4" xfId="3" applyFont="1" applyBorder="1" applyAlignment="1">
      <alignment horizontal="right"/>
    </xf>
    <xf numFmtId="0" fontId="44" fillId="8" borderId="0" xfId="7" applyFont="1" applyFill="1"/>
    <xf numFmtId="0" fontId="42" fillId="8" borderId="0" xfId="7" applyFont="1" applyFill="1"/>
    <xf numFmtId="0" fontId="42" fillId="0" borderId="0" xfId="7" applyFont="1" applyProtection="1">
      <protection hidden="1"/>
    </xf>
    <xf numFmtId="0" fontId="44" fillId="8" borderId="0" xfId="7" applyFont="1" applyFill="1" applyProtection="1">
      <protection hidden="1"/>
    </xf>
    <xf numFmtId="0" fontId="1" fillId="0" borderId="0" xfId="7" applyAlignment="1">
      <alignment vertical="center"/>
    </xf>
    <xf numFmtId="0" fontId="44" fillId="8" borderId="0" xfId="7" applyFont="1" applyFill="1" applyAlignment="1">
      <alignment vertical="center"/>
    </xf>
    <xf numFmtId="0" fontId="42" fillId="8" borderId="0" xfId="7" applyFont="1" applyFill="1" applyAlignment="1">
      <alignment vertical="center"/>
    </xf>
    <xf numFmtId="0" fontId="13" fillId="0" borderId="0" xfId="7" applyFont="1" applyAlignment="1">
      <alignment horizontal="right" vertical="top"/>
    </xf>
    <xf numFmtId="4" fontId="42" fillId="8" borderId="0" xfId="7" applyNumberFormat="1" applyFont="1" applyFill="1"/>
    <xf numFmtId="4" fontId="5" fillId="0" borderId="5" xfId="7" applyNumberFormat="1" applyFont="1" applyBorder="1" applyAlignment="1">
      <alignment horizontal="right" vertical="center"/>
    </xf>
    <xf numFmtId="0" fontId="5" fillId="0" borderId="1" xfId="7" applyFont="1" applyBorder="1" applyAlignment="1">
      <alignment horizontal="right" vertical="center"/>
    </xf>
    <xf numFmtId="0" fontId="52" fillId="0" borderId="1" xfId="7" applyFont="1" applyBorder="1" applyAlignment="1">
      <alignment horizontal="left" vertical="center"/>
    </xf>
    <xf numFmtId="0" fontId="5" fillId="0" borderId="4" xfId="7" applyFont="1" applyBorder="1" applyAlignment="1">
      <alignment horizontal="left" vertical="center"/>
    </xf>
    <xf numFmtId="4" fontId="42" fillId="8" borderId="0" xfId="7" applyNumberFormat="1" applyFont="1" applyFill="1" applyAlignment="1">
      <alignment vertical="center"/>
    </xf>
    <xf numFmtId="4" fontId="1" fillId="0" borderId="5" xfId="7" applyNumberFormat="1" applyBorder="1" applyAlignment="1">
      <alignment horizontal="right" vertical="center"/>
    </xf>
    <xf numFmtId="4" fontId="1" fillId="3" borderId="3" xfId="7" applyNumberFormat="1" applyFill="1" applyBorder="1" applyAlignment="1" applyProtection="1">
      <alignment vertical="center"/>
      <protection locked="0"/>
    </xf>
    <xf numFmtId="165" fontId="1" fillId="0" borderId="3" xfId="7" applyNumberFormat="1" applyBorder="1" applyAlignment="1">
      <alignment horizontal="center"/>
    </xf>
    <xf numFmtId="4" fontId="1" fillId="0" borderId="32" xfId="7" applyNumberFormat="1" applyBorder="1" applyAlignment="1">
      <alignment vertical="center"/>
    </xf>
    <xf numFmtId="4" fontId="1" fillId="0" borderId="6" xfId="7" applyNumberFormat="1" applyBorder="1" applyAlignment="1">
      <alignment vertical="center"/>
    </xf>
    <xf numFmtId="4" fontId="1" fillId="0" borderId="3" xfId="7" applyNumberFormat="1" applyBorder="1" applyAlignment="1">
      <alignment vertical="center"/>
    </xf>
    <xf numFmtId="0" fontId="1" fillId="0" borderId="1" xfId="7" applyBorder="1" applyAlignment="1">
      <alignment horizontal="left" vertical="center" indent="1"/>
    </xf>
    <xf numFmtId="4" fontId="4" fillId="2" borderId="2" xfId="7" applyNumberFormat="1" applyFont="1" applyFill="1" applyBorder="1" applyAlignment="1">
      <alignment horizontal="right" vertical="center"/>
    </xf>
    <xf numFmtId="0" fontId="4" fillId="2" borderId="1" xfId="7" applyFont="1" applyFill="1" applyBorder="1" applyAlignment="1">
      <alignment horizontal="right" vertical="center" indent="1"/>
    </xf>
    <xf numFmtId="0" fontId="4" fillId="2" borderId="1" xfId="7" applyFont="1" applyFill="1" applyBorder="1" applyAlignment="1">
      <alignment horizontal="left" vertical="center" indent="1"/>
    </xf>
    <xf numFmtId="0" fontId="4" fillId="2" borderId="1" xfId="7" applyFont="1" applyFill="1" applyBorder="1" applyAlignment="1">
      <alignment vertical="center"/>
    </xf>
    <xf numFmtId="0" fontId="4" fillId="2" borderId="4" xfId="7" applyFont="1" applyFill="1" applyBorder="1" applyAlignment="1">
      <alignment horizontal="left" vertical="center" indent="1"/>
    </xf>
    <xf numFmtId="0" fontId="4" fillId="2" borderId="4" xfId="7" applyFont="1" applyFill="1" applyBorder="1" applyAlignment="1">
      <alignment horizontal="center" vertical="center"/>
    </xf>
    <xf numFmtId="0" fontId="1" fillId="0" borderId="4" xfId="7" applyBorder="1" applyAlignment="1">
      <alignment horizontal="left" vertical="center" indent="1"/>
    </xf>
    <xf numFmtId="4" fontId="1" fillId="0" borderId="2" xfId="7" applyNumberFormat="1" applyBorder="1" applyAlignment="1" applyProtection="1">
      <alignment vertical="center"/>
      <protection hidden="1"/>
    </xf>
    <xf numFmtId="4" fontId="1" fillId="8" borderId="3" xfId="7" applyNumberFormat="1" applyFill="1" applyBorder="1" applyAlignment="1">
      <alignment vertical="center"/>
    </xf>
    <xf numFmtId="4" fontId="1" fillId="0" borderId="3" xfId="7" applyNumberFormat="1" applyBorder="1" applyAlignment="1" applyProtection="1">
      <alignment vertical="center"/>
      <protection hidden="1"/>
    </xf>
    <xf numFmtId="0" fontId="4" fillId="0" borderId="4" xfId="7" applyFont="1" applyBorder="1" applyAlignment="1">
      <alignment horizontal="right" vertical="center" indent="1"/>
    </xf>
    <xf numFmtId="0" fontId="4" fillId="0" borderId="1" xfId="7" applyFont="1" applyBorder="1" applyAlignment="1">
      <alignment horizontal="right" vertical="center" wrapText="1" indent="1"/>
    </xf>
    <xf numFmtId="0" fontId="4" fillId="2" borderId="2" xfId="7" applyFont="1" applyFill="1" applyBorder="1" applyAlignment="1">
      <alignment horizontal="right" vertical="center" indent="1"/>
    </xf>
    <xf numFmtId="0" fontId="4" fillId="0" borderId="2" xfId="7" applyFont="1" applyBorder="1" applyAlignment="1">
      <alignment horizontal="right" vertical="center" wrapText="1" indent="1"/>
    </xf>
    <xf numFmtId="0" fontId="1" fillId="0" borderId="4" xfId="7" applyBorder="1" applyAlignment="1">
      <alignment vertical="center"/>
    </xf>
    <xf numFmtId="0" fontId="42" fillId="8" borderId="0" xfId="7" applyFont="1" applyFill="1" applyAlignment="1">
      <alignment wrapText="1"/>
    </xf>
    <xf numFmtId="0" fontId="44" fillId="8" borderId="8" xfId="7" applyFont="1" applyFill="1" applyBorder="1" applyAlignment="1">
      <alignment vertical="center" wrapText="1"/>
    </xf>
    <xf numFmtId="0" fontId="1" fillId="0" borderId="4" xfId="7" applyBorder="1" applyAlignment="1">
      <alignment horizontal="center"/>
    </xf>
    <xf numFmtId="0" fontId="42" fillId="8" borderId="0" xfId="7" applyFont="1" applyFill="1" applyAlignment="1">
      <alignment vertical="top" wrapText="1"/>
    </xf>
    <xf numFmtId="0" fontId="44" fillId="8" borderId="8" xfId="7" applyFont="1" applyFill="1" applyBorder="1" applyAlignment="1">
      <alignment vertical="center"/>
    </xf>
    <xf numFmtId="0" fontId="1" fillId="0" borderId="2" xfId="7" applyBorder="1" applyAlignment="1">
      <alignment horizontal="right" vertical="center"/>
    </xf>
    <xf numFmtId="0" fontId="4" fillId="2" borderId="2" xfId="7" applyFont="1" applyFill="1" applyBorder="1" applyAlignment="1">
      <alignment horizontal="right" vertical="center"/>
    </xf>
    <xf numFmtId="0" fontId="1" fillId="3" borderId="3" xfId="7" applyFill="1" applyBorder="1" applyAlignment="1" applyProtection="1">
      <alignment horizontal="center"/>
      <protection locked="0"/>
    </xf>
    <xf numFmtId="0" fontId="2" fillId="3" borderId="2" xfId="7" applyFont="1" applyFill="1" applyBorder="1" applyAlignment="1" applyProtection="1">
      <alignment horizontal="left" vertical="center" indent="1"/>
      <protection locked="0"/>
    </xf>
    <xf numFmtId="0" fontId="2" fillId="3" borderId="1" xfId="7" applyFont="1" applyFill="1" applyBorder="1" applyAlignment="1" applyProtection="1">
      <alignment horizontal="left" vertical="center" indent="1"/>
      <protection locked="0"/>
    </xf>
    <xf numFmtId="0" fontId="2" fillId="3" borderId="4" xfId="7" applyFont="1" applyFill="1" applyBorder="1" applyAlignment="1" applyProtection="1">
      <alignment horizontal="left" vertical="center" indent="1"/>
      <protection locked="0"/>
    </xf>
    <xf numFmtId="0" fontId="1" fillId="0" borderId="6" xfId="7" applyBorder="1" applyAlignment="1">
      <alignment horizontal="center"/>
    </xf>
    <xf numFmtId="0" fontId="13" fillId="0" borderId="31" xfId="7" applyFont="1" applyBorder="1" applyAlignment="1">
      <alignment horizontal="right" vertical="center"/>
    </xf>
    <xf numFmtId="0" fontId="1" fillId="0" borderId="17" xfId="7" applyBorder="1" applyAlignment="1">
      <alignment horizontal="right" indent="1"/>
    </xf>
    <xf numFmtId="0" fontId="1" fillId="0" borderId="4" xfId="7" applyBorder="1"/>
    <xf numFmtId="0" fontId="13" fillId="0" borderId="0" xfId="7" applyFont="1" applyAlignment="1">
      <alignment horizontal="right" vertical="center" wrapText="1"/>
    </xf>
    <xf numFmtId="0" fontId="1" fillId="0" borderId="25" xfId="7" applyBorder="1" applyAlignment="1">
      <alignment horizontal="right" indent="1"/>
    </xf>
    <xf numFmtId="0" fontId="44" fillId="8" borderId="0" xfId="7" applyFont="1" applyFill="1" applyAlignment="1">
      <alignment horizontal="left" indent="1"/>
    </xf>
    <xf numFmtId="0" fontId="1" fillId="0" borderId="37" xfId="7" applyBorder="1" applyAlignment="1">
      <alignment horizontal="right" indent="1"/>
    </xf>
    <xf numFmtId="0" fontId="1" fillId="0" borderId="29" xfId="7" applyBorder="1"/>
    <xf numFmtId="0" fontId="1" fillId="0" borderId="7" xfId="7" applyBorder="1"/>
    <xf numFmtId="0" fontId="1" fillId="0" borderId="25" xfId="7" applyBorder="1" applyAlignment="1">
      <alignment horizontal="right" vertical="center"/>
    </xf>
    <xf numFmtId="0" fontId="1" fillId="0" borderId="8" xfId="7" applyBorder="1" applyAlignment="1">
      <alignment vertical="center"/>
    </xf>
    <xf numFmtId="0" fontId="2" fillId="0" borderId="8" xfId="7" applyFont="1" applyBorder="1" applyAlignment="1">
      <alignment vertical="center"/>
    </xf>
    <xf numFmtId="0" fontId="2" fillId="0" borderId="0" xfId="7" applyFont="1" applyAlignment="1">
      <alignment vertical="center"/>
    </xf>
    <xf numFmtId="3" fontId="1" fillId="0" borderId="3" xfId="7" applyNumberFormat="1" applyBorder="1" applyAlignment="1">
      <alignment horizontal="center" vertical="center"/>
    </xf>
    <xf numFmtId="0" fontId="2" fillId="0" borderId="7" xfId="7" applyFont="1" applyBorder="1" applyAlignment="1">
      <alignment vertical="center"/>
    </xf>
    <xf numFmtId="0" fontId="13" fillId="0" borderId="17" xfId="7" applyFont="1" applyBorder="1" applyAlignment="1">
      <alignment horizontal="right" vertical="top"/>
    </xf>
    <xf numFmtId="0" fontId="10" fillId="0" borderId="17" xfId="7" applyFont="1" applyBorder="1" applyAlignment="1">
      <alignment horizontal="right" vertical="top"/>
    </xf>
    <xf numFmtId="0" fontId="12" fillId="0" borderId="0" xfId="7" applyFont="1"/>
    <xf numFmtId="168" fontId="2" fillId="3" borderId="3" xfId="7" applyNumberFormat="1" applyFont="1" applyFill="1" applyBorder="1" applyAlignment="1" applyProtection="1">
      <alignment horizontal="center" vertical="center"/>
      <protection locked="0"/>
    </xf>
    <xf numFmtId="0" fontId="2" fillId="2" borderId="1" xfId="7" applyFont="1" applyFill="1" applyBorder="1"/>
    <xf numFmtId="0" fontId="12" fillId="2" borderId="4" xfId="7" applyFont="1" applyFill="1" applyBorder="1"/>
    <xf numFmtId="0" fontId="5" fillId="2" borderId="1" xfId="7" applyFont="1" applyFill="1" applyBorder="1" applyAlignment="1" applyProtection="1">
      <alignment horizontal="left"/>
      <protection locked="0"/>
    </xf>
    <xf numFmtId="0" fontId="7" fillId="2" borderId="2" xfId="7" applyFont="1" applyFill="1" applyBorder="1" applyAlignment="1">
      <alignment horizontal="right"/>
    </xf>
    <xf numFmtId="0" fontId="8" fillId="0" borderId="0" xfId="7" applyFont="1"/>
    <xf numFmtId="4" fontId="8" fillId="0" borderId="2" xfId="2" applyNumberFormat="1" applyFont="1" applyFill="1" applyBorder="1" applyProtection="1"/>
    <xf numFmtId="167" fontId="8" fillId="0" borderId="4" xfId="2" applyNumberFormat="1" applyFont="1" applyFill="1" applyBorder="1" applyProtection="1"/>
    <xf numFmtId="4" fontId="8" fillId="0" borderId="4" xfId="2" applyNumberFormat="1" applyFont="1" applyFill="1" applyBorder="1" applyProtection="1"/>
    <xf numFmtId="9" fontId="8" fillId="0" borderId="3" xfId="8" applyFont="1" applyFill="1" applyBorder="1" applyAlignment="1" applyProtection="1">
      <alignment horizontal="center"/>
    </xf>
    <xf numFmtId="167" fontId="8" fillId="3" borderId="3" xfId="2" applyNumberFormat="1" applyFont="1" applyFill="1" applyBorder="1" applyAlignment="1" applyProtection="1">
      <alignment horizontal="center"/>
      <protection locked="0"/>
    </xf>
    <xf numFmtId="0" fontId="9" fillId="0" borderId="2" xfId="7" applyFont="1" applyBorder="1" applyAlignment="1">
      <alignment horizontal="right"/>
    </xf>
    <xf numFmtId="0" fontId="9" fillId="0" borderId="4" xfId="7" applyFont="1" applyBorder="1"/>
    <xf numFmtId="0" fontId="9" fillId="0" borderId="3" xfId="7" applyFont="1" applyBorder="1" applyAlignment="1">
      <alignment horizontal="right"/>
    </xf>
    <xf numFmtId="0" fontId="9" fillId="0" borderId="3" xfId="7" applyFont="1" applyBorder="1" applyAlignment="1">
      <alignment horizontal="center"/>
    </xf>
    <xf numFmtId="0" fontId="9" fillId="0" borderId="3" xfId="7" applyFont="1" applyBorder="1"/>
    <xf numFmtId="4" fontId="1" fillId="0" borderId="0" xfId="7" applyNumberFormat="1" applyAlignment="1">
      <alignment horizontal="right"/>
    </xf>
    <xf numFmtId="0" fontId="1" fillId="0" borderId="0" xfId="7" applyAlignment="1">
      <alignment horizontal="right"/>
    </xf>
    <xf numFmtId="0" fontId="50" fillId="0" borderId="0" xfId="7" applyFont="1"/>
    <xf numFmtId="0" fontId="6" fillId="0" borderId="0" xfId="7" applyFont="1"/>
    <xf numFmtId="0" fontId="13" fillId="0" borderId="0" xfId="7" applyFont="1" applyAlignment="1">
      <alignment horizontal="center" vertical="center"/>
    </xf>
    <xf numFmtId="0" fontId="2" fillId="2" borderId="2" xfId="7" applyFont="1" applyFill="1" applyBorder="1" applyAlignment="1">
      <alignment horizontal="right" indent="1"/>
    </xf>
    <xf numFmtId="0" fontId="1" fillId="2" borderId="1" xfId="7" applyFill="1" applyBorder="1" applyAlignment="1">
      <alignment horizontal="right"/>
    </xf>
    <xf numFmtId="0" fontId="1" fillId="2" borderId="1" xfId="7" applyFill="1" applyBorder="1"/>
    <xf numFmtId="0" fontId="5" fillId="2" borderId="4" xfId="7" applyFont="1" applyFill="1" applyBorder="1"/>
    <xf numFmtId="0" fontId="45" fillId="0" borderId="0" xfId="7" applyFont="1" applyAlignment="1">
      <alignment vertical="center"/>
    </xf>
    <xf numFmtId="0" fontId="1" fillId="0" borderId="0" xfId="0" applyFont="1" applyAlignment="1">
      <alignment horizontal="center"/>
    </xf>
    <xf numFmtId="0" fontId="70" fillId="0" borderId="7" xfId="3" applyFont="1" applyBorder="1" applyAlignment="1">
      <alignment horizontal="left" vertical="center" indent="1"/>
    </xf>
    <xf numFmtId="0" fontId="10" fillId="0" borderId="0" xfId="3" applyFont="1"/>
    <xf numFmtId="14" fontId="0" fillId="0" borderId="0" xfId="0" applyNumberFormat="1"/>
    <xf numFmtId="0" fontId="13" fillId="0" borderId="0" xfId="3" applyFont="1"/>
    <xf numFmtId="0" fontId="71" fillId="0" borderId="0" xfId="3" applyFont="1" applyAlignment="1">
      <alignment horizontal="center" vertical="center"/>
    </xf>
    <xf numFmtId="0" fontId="1" fillId="0" borderId="0" xfId="7" applyProtection="1">
      <protection locked="0"/>
    </xf>
    <xf numFmtId="0" fontId="72" fillId="0" borderId="0" xfId="7" applyFont="1"/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1" fillId="0" borderId="0" xfId="7" applyAlignment="1">
      <alignment horizontal="left" vertical="center"/>
    </xf>
    <xf numFmtId="0" fontId="3" fillId="0" borderId="0" xfId="3" applyAlignment="1">
      <alignment horizontal="left" vertical="center"/>
    </xf>
    <xf numFmtId="0" fontId="4" fillId="0" borderId="0" xfId="7" applyFont="1"/>
    <xf numFmtId="0" fontId="42" fillId="8" borderId="0" xfId="0" applyFont="1" applyFill="1"/>
    <xf numFmtId="0" fontId="42" fillId="0" borderId="0" xfId="0" applyFont="1" applyAlignment="1">
      <alignment horizontal="right"/>
    </xf>
    <xf numFmtId="0" fontId="42" fillId="0" borderId="0" xfId="0" applyFont="1" applyAlignment="1" applyProtection="1">
      <alignment horizontal="center"/>
      <protection hidden="1"/>
    </xf>
    <xf numFmtId="2" fontId="42" fillId="0" borderId="0" xfId="0" applyNumberFormat="1" applyFont="1" applyProtection="1">
      <protection hidden="1"/>
    </xf>
    <xf numFmtId="0" fontId="55" fillId="0" borderId="0" xfId="0" applyFont="1"/>
    <xf numFmtId="0" fontId="42" fillId="0" borderId="0" xfId="0" applyFont="1" applyAlignment="1">
      <alignment vertical="center"/>
    </xf>
    <xf numFmtId="0" fontId="42" fillId="0" borderId="0" xfId="0" applyFont="1" applyAlignment="1">
      <alignment horizontal="left"/>
    </xf>
    <xf numFmtId="0" fontId="42" fillId="0" borderId="0" xfId="0" applyFont="1" applyAlignment="1" applyProtection="1">
      <alignment vertical="center"/>
      <protection hidden="1"/>
    </xf>
    <xf numFmtId="0" fontId="42" fillId="0" borderId="0" xfId="0" applyFont="1" applyAlignment="1">
      <alignment horizontal="center"/>
    </xf>
    <xf numFmtId="4" fontId="42" fillId="0" borderId="0" xfId="0" applyNumberFormat="1" applyFont="1"/>
    <xf numFmtId="0" fontId="42" fillId="8" borderId="0" xfId="7" applyFont="1" applyFill="1" applyAlignment="1">
      <alignment horizontal="right"/>
    </xf>
    <xf numFmtId="0" fontId="42" fillId="8" borderId="0" xfId="7" applyFont="1" applyFill="1" applyProtection="1">
      <protection hidden="1"/>
    </xf>
    <xf numFmtId="0" fontId="43" fillId="8" borderId="0" xfId="7" applyFont="1" applyFill="1" applyProtection="1">
      <protection hidden="1"/>
    </xf>
    <xf numFmtId="0" fontId="42" fillId="8" borderId="0" xfId="7" applyFont="1" applyFill="1" applyAlignment="1" applyProtection="1">
      <alignment horizontal="center"/>
      <protection hidden="1"/>
    </xf>
    <xf numFmtId="0" fontId="42" fillId="8" borderId="0" xfId="7" applyFont="1" applyFill="1" applyAlignment="1" applyProtection="1">
      <alignment horizontal="right"/>
      <protection hidden="1"/>
    </xf>
    <xf numFmtId="4" fontId="42" fillId="8" borderId="0" xfId="7" applyNumberFormat="1" applyFont="1" applyFill="1" applyProtection="1">
      <protection hidden="1"/>
    </xf>
    <xf numFmtId="0" fontId="55" fillId="8" borderId="0" xfId="7" applyFont="1" applyFill="1"/>
    <xf numFmtId="0" fontId="42" fillId="8" borderId="0" xfId="7" applyFont="1" applyFill="1" applyAlignment="1" applyProtection="1">
      <alignment vertical="center"/>
      <protection hidden="1"/>
    </xf>
    <xf numFmtId="0" fontId="42" fillId="8" borderId="0" xfId="7" applyFont="1" applyFill="1" applyAlignment="1">
      <alignment horizontal="left"/>
    </xf>
    <xf numFmtId="0" fontId="42" fillId="8" borderId="0" xfId="7" applyFont="1" applyFill="1" applyAlignment="1">
      <alignment horizontal="center"/>
    </xf>
    <xf numFmtId="0" fontId="42" fillId="0" borderId="0" xfId="7" applyFont="1" applyAlignment="1">
      <alignment vertical="center"/>
    </xf>
    <xf numFmtId="0" fontId="52" fillId="0" borderId="3" xfId="3" applyFont="1" applyBorder="1" applyAlignment="1" applyProtection="1">
      <alignment horizontal="left" vertical="center"/>
      <protection locked="0"/>
    </xf>
    <xf numFmtId="0" fontId="49" fillId="0" borderId="0" xfId="7" applyFont="1" applyAlignment="1">
      <alignment vertical="center"/>
    </xf>
    <xf numFmtId="0" fontId="55" fillId="0" borderId="0" xfId="3" applyFont="1"/>
    <xf numFmtId="0" fontId="49" fillId="0" borderId="0" xfId="3" applyFont="1"/>
    <xf numFmtId="0" fontId="75" fillId="0" borderId="0" xfId="3" applyFont="1" applyAlignment="1">
      <alignment horizontal="center" vertical="center"/>
    </xf>
    <xf numFmtId="0" fontId="75" fillId="0" borderId="0" xfId="3" applyFont="1"/>
    <xf numFmtId="0" fontId="76" fillId="0" borderId="0" xfId="3" applyFont="1" applyAlignment="1">
      <alignment horizontal="center" vertical="center"/>
    </xf>
    <xf numFmtId="0" fontId="76" fillId="0" borderId="0" xfId="3" applyFont="1"/>
    <xf numFmtId="0" fontId="42" fillId="0" borderId="0" xfId="3" applyFont="1" applyAlignment="1">
      <alignment vertical="center"/>
    </xf>
    <xf numFmtId="0" fontId="55" fillId="0" borderId="0" xfId="3" applyFont="1" applyAlignment="1">
      <alignment vertical="center"/>
    </xf>
    <xf numFmtId="0" fontId="49" fillId="0" borderId="0" xfId="3" applyFont="1" applyAlignment="1">
      <alignment vertical="center"/>
    </xf>
    <xf numFmtId="0" fontId="74" fillId="0" borderId="0" xfId="0" quotePrefix="1" applyFont="1" applyAlignment="1">
      <alignment horizontal="center" vertical="center"/>
    </xf>
    <xf numFmtId="0" fontId="76" fillId="0" borderId="0" xfId="3" applyFont="1" applyAlignment="1">
      <alignment horizontal="right" vertical="center"/>
    </xf>
    <xf numFmtId="0" fontId="55" fillId="0" borderId="0" xfId="3" applyFont="1" applyAlignment="1">
      <alignment horizontal="left" vertical="center"/>
    </xf>
    <xf numFmtId="0" fontId="2" fillId="3" borderId="4" xfId="3" applyFont="1" applyFill="1" applyBorder="1" applyAlignment="1" applyProtection="1">
      <alignment horizontal="left" vertical="center"/>
      <protection locked="0"/>
    </xf>
    <xf numFmtId="0" fontId="2" fillId="3" borderId="2" xfId="3" applyFont="1" applyFill="1" applyBorder="1" applyAlignment="1" applyProtection="1">
      <alignment horizontal="left" vertical="center"/>
      <protection locked="0"/>
    </xf>
    <xf numFmtId="0" fontId="26" fillId="0" borderId="4" xfId="3" applyFont="1" applyBorder="1" applyAlignment="1">
      <alignment horizontal="left" vertical="center" indent="1"/>
    </xf>
    <xf numFmtId="0" fontId="26" fillId="0" borderId="2" xfId="3" applyFont="1" applyBorder="1" applyAlignment="1">
      <alignment horizontal="left" vertical="center" indent="1"/>
    </xf>
    <xf numFmtId="0" fontId="2" fillId="3" borderId="1" xfId="3" applyFont="1" applyFill="1" applyBorder="1" applyAlignment="1" applyProtection="1">
      <alignment horizontal="left" vertical="center"/>
      <protection locked="0"/>
    </xf>
    <xf numFmtId="0" fontId="4" fillId="0" borderId="4" xfId="3" applyFont="1" applyBorder="1" applyAlignment="1">
      <alignment horizontal="left" vertical="center" wrapText="1" indent="1"/>
    </xf>
    <xf numFmtId="0" fontId="4" fillId="0" borderId="2" xfId="3" applyFont="1" applyBorder="1" applyAlignment="1">
      <alignment horizontal="left" vertical="center" wrapText="1" indent="1"/>
    </xf>
    <xf numFmtId="0" fontId="4" fillId="0" borderId="1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26" fillId="0" borderId="30" xfId="3" applyFont="1" applyBorder="1" applyAlignment="1">
      <alignment horizontal="left" vertical="center" indent="1"/>
    </xf>
    <xf numFmtId="0" fontId="26" fillId="0" borderId="31" xfId="3" applyFont="1" applyBorder="1" applyAlignment="1">
      <alignment horizontal="left" vertical="center" indent="1"/>
    </xf>
    <xf numFmtId="0" fontId="3" fillId="0" borderId="7" xfId="3" applyBorder="1" applyAlignment="1">
      <alignment horizontal="left" vertical="center" wrapText="1"/>
    </xf>
    <xf numFmtId="0" fontId="3" fillId="0" borderId="29" xfId="3" applyBorder="1" applyAlignment="1">
      <alignment horizontal="left" vertical="center" wrapText="1"/>
    </xf>
    <xf numFmtId="0" fontId="22" fillId="0" borderId="4" xfId="3" applyFont="1" applyBorder="1" applyAlignment="1">
      <alignment horizontal="center"/>
    </xf>
    <xf numFmtId="0" fontId="22" fillId="0" borderId="1" xfId="3" applyFont="1" applyBorder="1" applyAlignment="1">
      <alignment horizontal="center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2" fillId="3" borderId="4" xfId="3" applyFont="1" applyFill="1" applyBorder="1" applyAlignment="1" applyProtection="1">
      <alignment horizontal="left" vertical="center" wrapText="1"/>
      <protection locked="0"/>
    </xf>
    <xf numFmtId="0" fontId="2" fillId="3" borderId="1" xfId="3" applyFont="1" applyFill="1" applyBorder="1" applyAlignment="1" applyProtection="1">
      <alignment horizontal="left" vertical="center" wrapText="1"/>
      <protection locked="0"/>
    </xf>
    <xf numFmtId="0" fontId="2" fillId="3" borderId="2" xfId="3" applyFont="1" applyFill="1" applyBorder="1" applyAlignment="1" applyProtection="1">
      <alignment horizontal="left" vertical="center" wrapText="1"/>
      <protection locked="0"/>
    </xf>
    <xf numFmtId="11" fontId="2" fillId="3" borderId="4" xfId="3" applyNumberFormat="1" applyFont="1" applyFill="1" applyBorder="1" applyAlignment="1" applyProtection="1">
      <alignment horizontal="left" vertical="center" wrapText="1"/>
      <protection locked="0"/>
    </xf>
    <xf numFmtId="11" fontId="2" fillId="3" borderId="1" xfId="3" applyNumberFormat="1" applyFont="1" applyFill="1" applyBorder="1" applyAlignment="1" applyProtection="1">
      <alignment horizontal="left" vertical="center" wrapText="1"/>
      <protection locked="0"/>
    </xf>
    <xf numFmtId="11" fontId="2" fillId="3" borderId="2" xfId="3" applyNumberFormat="1" applyFont="1" applyFill="1" applyBorder="1" applyAlignment="1" applyProtection="1">
      <alignment horizontal="left" vertical="center" wrapText="1"/>
      <protection locked="0"/>
    </xf>
    <xf numFmtId="0" fontId="14" fillId="3" borderId="2" xfId="0" applyFont="1" applyFill="1" applyBorder="1" applyAlignment="1" applyProtection="1">
      <alignment horizontal="left" vertical="center"/>
      <protection locked="0"/>
    </xf>
    <xf numFmtId="0" fontId="14" fillId="3" borderId="1" xfId="0" applyFont="1" applyFill="1" applyBorder="1" applyAlignment="1" applyProtection="1">
      <alignment horizontal="left" vertical="center"/>
      <protection locked="0"/>
    </xf>
    <xf numFmtId="0" fontId="26" fillId="0" borderId="4" xfId="0" applyFont="1" applyBorder="1" applyAlignment="1">
      <alignment horizontal="left" indent="1"/>
    </xf>
    <xf numFmtId="0" fontId="26" fillId="0" borderId="2" xfId="0" applyFont="1" applyBorder="1" applyAlignment="1">
      <alignment horizontal="left" indent="1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" fillId="3" borderId="4" xfId="0" applyFont="1" applyFill="1" applyBorder="1" applyAlignment="1" applyProtection="1">
      <alignment horizontal="left" indent="1"/>
      <protection locked="0"/>
    </xf>
    <xf numFmtId="0" fontId="1" fillId="3" borderId="1" xfId="0" applyFont="1" applyFill="1" applyBorder="1" applyAlignment="1" applyProtection="1">
      <alignment horizontal="left" indent="1"/>
      <protection locked="0"/>
    </xf>
    <xf numFmtId="0" fontId="1" fillId="3" borderId="2" xfId="0" applyFont="1" applyFill="1" applyBorder="1" applyAlignment="1" applyProtection="1">
      <alignment horizontal="left" indent="1"/>
      <protection locked="0"/>
    </xf>
    <xf numFmtId="0" fontId="3" fillId="0" borderId="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5" xfId="0" applyFont="1" applyBorder="1" applyAlignment="1">
      <alignment horizontal="center"/>
    </xf>
    <xf numFmtId="4" fontId="3" fillId="3" borderId="4" xfId="0" applyNumberFormat="1" applyFont="1" applyFill="1" applyBorder="1" applyAlignment="1" applyProtection="1">
      <alignment horizontal="right"/>
      <protection locked="0"/>
    </xf>
    <xf numFmtId="4" fontId="3" fillId="3" borderId="2" xfId="0" applyNumberFormat="1" applyFont="1" applyFill="1" applyBorder="1" applyAlignment="1" applyProtection="1">
      <alignment horizontal="right"/>
      <protection locked="0"/>
    </xf>
    <xf numFmtId="0" fontId="1" fillId="0" borderId="30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3" fillId="0" borderId="31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1" fillId="0" borderId="0" xfId="7" applyAlignment="1">
      <alignment horizontal="center"/>
    </xf>
    <xf numFmtId="0" fontId="13" fillId="0" borderId="17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right" indent="1"/>
    </xf>
    <xf numFmtId="0" fontId="3" fillId="0" borderId="0" xfId="0" applyFont="1" applyAlignment="1">
      <alignment horizontal="right" indent="1"/>
    </xf>
    <xf numFmtId="0" fontId="3" fillId="0" borderId="25" xfId="0" applyFont="1" applyBorder="1" applyAlignment="1">
      <alignment horizontal="right" indent="1"/>
    </xf>
    <xf numFmtId="0" fontId="2" fillId="0" borderId="8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left" vertical="center" indent="1"/>
      <protection locked="0"/>
    </xf>
    <xf numFmtId="0" fontId="1" fillId="3" borderId="1" xfId="0" applyFont="1" applyFill="1" applyBorder="1" applyAlignment="1" applyProtection="1">
      <alignment horizontal="left" vertical="center" indent="1"/>
      <protection locked="0"/>
    </xf>
    <xf numFmtId="0" fontId="1" fillId="3" borderId="2" xfId="0" applyFont="1" applyFill="1" applyBorder="1" applyAlignment="1" applyProtection="1">
      <alignment horizontal="left" vertical="center" indent="1"/>
      <protection locked="0"/>
    </xf>
    <xf numFmtId="0" fontId="0" fillId="0" borderId="2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1" xfId="0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4" xfId="0" applyFont="1" applyFill="1" applyBorder="1" applyAlignment="1" applyProtection="1">
      <alignment horizontal="left" vertical="center" indent="1"/>
      <protection locked="0"/>
    </xf>
    <xf numFmtId="0" fontId="0" fillId="3" borderId="1" xfId="0" applyFill="1" applyBorder="1" applyAlignment="1" applyProtection="1">
      <alignment horizontal="left" vertical="center" indent="1"/>
      <protection locked="0"/>
    </xf>
    <xf numFmtId="0" fontId="0" fillId="3" borderId="2" xfId="0" applyFill="1" applyBorder="1" applyAlignment="1" applyProtection="1">
      <alignment horizontal="left" vertical="center" indent="1"/>
      <protection locked="0"/>
    </xf>
    <xf numFmtId="0" fontId="0" fillId="3" borderId="4" xfId="0" applyFill="1" applyBorder="1" applyAlignment="1" applyProtection="1">
      <alignment horizontal="left" vertical="center" indent="1"/>
      <protection locked="0"/>
    </xf>
    <xf numFmtId="0" fontId="52" fillId="0" borderId="7" xfId="0" applyFont="1" applyBorder="1" applyAlignment="1">
      <alignment horizontal="right" vertical="center" indent="1"/>
    </xf>
    <xf numFmtId="0" fontId="52" fillId="0" borderId="37" xfId="0" applyFont="1" applyBorder="1" applyAlignment="1">
      <alignment horizontal="right" vertical="center" indent="1"/>
    </xf>
    <xf numFmtId="0" fontId="52" fillId="0" borderId="8" xfId="0" applyFont="1" applyBorder="1" applyAlignment="1">
      <alignment horizontal="right" vertical="center" indent="1"/>
    </xf>
    <xf numFmtId="0" fontId="52" fillId="0" borderId="25" xfId="0" applyFont="1" applyBorder="1" applyAlignment="1">
      <alignment horizontal="right" vertical="center" indent="1"/>
    </xf>
    <xf numFmtId="0" fontId="13" fillId="0" borderId="8" xfId="0" applyFont="1" applyBorder="1" applyAlignment="1">
      <alignment horizontal="right" vertical="center" indent="1"/>
    </xf>
    <xf numFmtId="0" fontId="13" fillId="0" borderId="0" xfId="0" applyFont="1" applyAlignment="1">
      <alignment horizontal="right" vertical="center" indent="1"/>
    </xf>
    <xf numFmtId="0" fontId="10" fillId="0" borderId="8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25" xfId="0" applyFont="1" applyBorder="1" applyAlignment="1">
      <alignment horizontal="right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30" xfId="0" applyFont="1" applyFill="1" applyBorder="1" applyAlignment="1" applyProtection="1">
      <alignment horizontal="left" vertical="center" indent="1"/>
      <protection locked="0"/>
    </xf>
    <xf numFmtId="0" fontId="1" fillId="3" borderId="17" xfId="0" applyFont="1" applyFill="1" applyBorder="1" applyAlignment="1" applyProtection="1">
      <alignment horizontal="left" vertical="center" indent="1"/>
      <protection locked="0"/>
    </xf>
    <xf numFmtId="0" fontId="1" fillId="3" borderId="31" xfId="0" applyFont="1" applyFill="1" applyBorder="1" applyAlignment="1" applyProtection="1">
      <alignment horizontal="left" vertical="center" indent="1"/>
      <protection locked="0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3" borderId="0" xfId="0" applyFont="1" applyFill="1" applyAlignment="1" applyProtection="1">
      <alignment horizontal="left" indent="1"/>
      <protection locked="0"/>
    </xf>
    <xf numFmtId="0" fontId="4" fillId="0" borderId="4" xfId="0" applyFont="1" applyBorder="1" applyAlignment="1">
      <alignment horizontal="right" vertical="center" wrapText="1" indent="1"/>
    </xf>
    <xf numFmtId="0" fontId="4" fillId="0" borderId="1" xfId="0" applyFont="1" applyBorder="1" applyAlignment="1">
      <alignment horizontal="right" vertical="center" wrapText="1" indent="1"/>
    </xf>
    <xf numFmtId="0" fontId="4" fillId="0" borderId="36" xfId="0" applyFont="1" applyBorder="1" applyAlignment="1">
      <alignment horizontal="right" vertical="center" wrapText="1" indent="1"/>
    </xf>
    <xf numFmtId="0" fontId="4" fillId="0" borderId="4" xfId="0" applyFont="1" applyBorder="1" applyAlignment="1">
      <alignment horizontal="right" indent="1"/>
    </xf>
    <xf numFmtId="0" fontId="4" fillId="0" borderId="1" xfId="0" applyFont="1" applyBorder="1" applyAlignment="1">
      <alignment horizontal="right" indent="1"/>
    </xf>
    <xf numFmtId="0" fontId="4" fillId="0" borderId="36" xfId="0" applyFont="1" applyBorder="1" applyAlignment="1">
      <alignment horizontal="right" indent="1"/>
    </xf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3" fillId="3" borderId="1" xfId="0" applyFont="1" applyFill="1" applyBorder="1" applyAlignment="1" applyProtection="1">
      <alignment horizontal="left" vertical="center" indent="1"/>
      <protection locked="0"/>
    </xf>
    <xf numFmtId="0" fontId="44" fillId="8" borderId="8" xfId="7" applyFont="1" applyFill="1" applyBorder="1" applyAlignment="1">
      <alignment horizontal="left" vertical="center" wrapText="1" indent="1"/>
    </xf>
    <xf numFmtId="0" fontId="44" fillId="8" borderId="0" xfId="7" applyFont="1" applyFill="1" applyAlignment="1">
      <alignment horizontal="left" vertical="center" wrapText="1" indent="1"/>
    </xf>
    <xf numFmtId="0" fontId="1" fillId="0" borderId="17" xfId="7" applyBorder="1" applyAlignment="1">
      <alignment horizontal="center" vertical="center" wrapText="1"/>
    </xf>
    <xf numFmtId="0" fontId="1" fillId="3" borderId="4" xfId="7" applyFill="1" applyBorder="1" applyAlignment="1" applyProtection="1">
      <alignment horizontal="left" vertical="center" indent="1"/>
      <protection locked="0"/>
    </xf>
    <xf numFmtId="0" fontId="1" fillId="3" borderId="1" xfId="7" applyFill="1" applyBorder="1" applyAlignment="1" applyProtection="1">
      <alignment horizontal="left" vertical="center" indent="1"/>
      <protection locked="0"/>
    </xf>
    <xf numFmtId="0" fontId="1" fillId="3" borderId="2" xfId="7" applyFill="1" applyBorder="1" applyAlignment="1" applyProtection="1">
      <alignment horizontal="left" vertical="center" indent="1"/>
      <protection locked="0"/>
    </xf>
    <xf numFmtId="0" fontId="2" fillId="3" borderId="1" xfId="7" applyFont="1" applyFill="1" applyBorder="1" applyAlignment="1" applyProtection="1">
      <alignment horizontal="left" indent="1"/>
      <protection locked="0"/>
    </xf>
    <xf numFmtId="0" fontId="2" fillId="3" borderId="2" xfId="7" applyFont="1" applyFill="1" applyBorder="1" applyAlignment="1" applyProtection="1">
      <alignment horizontal="left" indent="1"/>
      <protection locked="0"/>
    </xf>
    <xf numFmtId="4" fontId="1" fillId="0" borderId="6" xfId="7" applyNumberFormat="1" applyBorder="1" applyAlignment="1">
      <alignment horizontal="center" vertical="center"/>
    </xf>
    <xf numFmtId="4" fontId="1" fillId="0" borderId="51" xfId="7" applyNumberFormat="1" applyBorder="1" applyAlignment="1">
      <alignment horizontal="center" vertical="center"/>
    </xf>
    <xf numFmtId="4" fontId="1" fillId="0" borderId="50" xfId="7" applyNumberFormat="1" applyBorder="1" applyAlignment="1">
      <alignment horizontal="center" vertical="center"/>
    </xf>
    <xf numFmtId="0" fontId="1" fillId="0" borderId="4" xfId="7" applyBorder="1" applyAlignment="1">
      <alignment horizontal="left" vertical="center" indent="1"/>
    </xf>
    <xf numFmtId="0" fontId="1" fillId="0" borderId="1" xfId="7" applyBorder="1" applyAlignment="1">
      <alignment horizontal="left" vertical="center" indent="1"/>
    </xf>
    <xf numFmtId="0" fontId="1" fillId="0" borderId="2" xfId="7" applyBorder="1" applyAlignment="1">
      <alignment horizontal="left" vertical="center" indent="1"/>
    </xf>
    <xf numFmtId="0" fontId="1" fillId="0" borderId="1" xfId="7" applyBorder="1" applyAlignment="1" applyProtection="1">
      <alignment horizontal="center"/>
      <protection locked="0"/>
    </xf>
    <xf numFmtId="0" fontId="2" fillId="0" borderId="0" xfId="7" applyFont="1" applyAlignment="1">
      <alignment horizontal="center"/>
    </xf>
    <xf numFmtId="0" fontId="4" fillId="2" borderId="4" xfId="7" applyFont="1" applyFill="1" applyBorder="1" applyAlignment="1">
      <alignment horizontal="left" vertical="center" indent="1"/>
    </xf>
    <xf numFmtId="0" fontId="4" fillId="2" borderId="1" xfId="7" applyFont="1" applyFill="1" applyBorder="1" applyAlignment="1">
      <alignment horizontal="left" vertical="center" indent="1"/>
    </xf>
    <xf numFmtId="0" fontId="4" fillId="2" borderId="2" xfId="7" applyFont="1" applyFill="1" applyBorder="1" applyAlignment="1">
      <alignment horizontal="left" vertical="center" indent="1"/>
    </xf>
    <xf numFmtId="0" fontId="2" fillId="0" borderId="8" xfId="7" applyFont="1" applyBorder="1" applyAlignment="1">
      <alignment horizontal="center"/>
    </xf>
    <xf numFmtId="0" fontId="13" fillId="0" borderId="8" xfId="7" applyFont="1" applyBorder="1" applyAlignment="1">
      <alignment horizontal="right" vertical="center" indent="1"/>
    </xf>
    <xf numFmtId="0" fontId="13" fillId="0" borderId="0" xfId="7" applyFont="1" applyAlignment="1">
      <alignment horizontal="right" vertical="center" indent="1"/>
    </xf>
    <xf numFmtId="0" fontId="2" fillId="3" borderId="4" xfId="7" applyFont="1" applyFill="1" applyBorder="1" applyAlignment="1" applyProtection="1">
      <alignment horizontal="left" vertical="center" indent="1"/>
      <protection locked="0"/>
    </xf>
    <xf numFmtId="0" fontId="2" fillId="3" borderId="1" xfId="7" applyFont="1" applyFill="1" applyBorder="1" applyAlignment="1" applyProtection="1">
      <alignment horizontal="left" vertical="center" indent="1"/>
      <protection locked="0"/>
    </xf>
    <xf numFmtId="0" fontId="2" fillId="3" borderId="2" xfId="7" applyFont="1" applyFill="1" applyBorder="1" applyAlignment="1" applyProtection="1">
      <alignment horizontal="left" vertical="center" indent="1"/>
      <protection locked="0"/>
    </xf>
    <xf numFmtId="0" fontId="2" fillId="3" borderId="30" xfId="7" applyFont="1" applyFill="1" applyBorder="1" applyAlignment="1" applyProtection="1">
      <alignment horizontal="left" vertical="center" indent="1"/>
      <protection locked="0"/>
    </xf>
    <xf numFmtId="0" fontId="2" fillId="3" borderId="17" xfId="7" applyFont="1" applyFill="1" applyBorder="1" applyAlignment="1" applyProtection="1">
      <alignment horizontal="left" vertical="center" indent="1"/>
      <protection locked="0"/>
    </xf>
    <xf numFmtId="0" fontId="2" fillId="3" borderId="31" xfId="7" applyFont="1" applyFill="1" applyBorder="1" applyAlignment="1" applyProtection="1">
      <alignment horizontal="left" vertical="center" indent="1"/>
      <protection locked="0"/>
    </xf>
    <xf numFmtId="0" fontId="1" fillId="0" borderId="8" xfId="7" applyBorder="1" applyAlignment="1">
      <alignment horizontal="left" vertical="center"/>
    </xf>
    <xf numFmtId="0" fontId="1" fillId="0" borderId="0" xfId="7" applyAlignment="1">
      <alignment horizontal="left" vertical="center"/>
    </xf>
    <xf numFmtId="0" fontId="1" fillId="0" borderId="29" xfId="7" applyBorder="1" applyAlignment="1">
      <alignment horizontal="center"/>
    </xf>
    <xf numFmtId="0" fontId="1" fillId="0" borderId="37" xfId="7" applyBorder="1" applyAlignment="1">
      <alignment horizontal="center"/>
    </xf>
    <xf numFmtId="0" fontId="1" fillId="0" borderId="25" xfId="7" applyBorder="1" applyAlignment="1">
      <alignment horizontal="center"/>
    </xf>
    <xf numFmtId="0" fontId="1" fillId="0" borderId="17" xfId="7" applyBorder="1" applyAlignment="1">
      <alignment horizontal="center"/>
    </xf>
    <xf numFmtId="0" fontId="1" fillId="0" borderId="31" xfId="7" applyBorder="1" applyAlignment="1">
      <alignment horizontal="center"/>
    </xf>
    <xf numFmtId="0" fontId="1" fillId="0" borderId="30" xfId="7" applyBorder="1" applyAlignment="1">
      <alignment horizontal="right" vertical="center" indent="1"/>
    </xf>
    <xf numFmtId="0" fontId="1" fillId="0" borderId="17" xfId="7" applyBorder="1" applyAlignment="1">
      <alignment horizontal="right" vertical="center" indent="1"/>
    </xf>
    <xf numFmtId="0" fontId="1" fillId="0" borderId="31" xfId="7" applyBorder="1" applyAlignment="1">
      <alignment horizontal="right" vertical="center" indent="1"/>
    </xf>
    <xf numFmtId="4" fontId="1" fillId="3" borderId="4" xfId="7" applyNumberFormat="1" applyFill="1" applyBorder="1" applyAlignment="1" applyProtection="1">
      <alignment horizontal="center"/>
      <protection locked="0"/>
    </xf>
    <xf numFmtId="4" fontId="1" fillId="3" borderId="2" xfId="7" applyNumberFormat="1" applyFill="1" applyBorder="1" applyAlignment="1" applyProtection="1">
      <alignment horizontal="center"/>
      <protection locked="0"/>
    </xf>
    <xf numFmtId="0" fontId="1" fillId="3" borderId="4" xfId="7" applyFill="1" applyBorder="1" applyAlignment="1" applyProtection="1">
      <alignment horizontal="center" vertical="center"/>
      <protection locked="0"/>
    </xf>
    <xf numFmtId="0" fontId="1" fillId="3" borderId="1" xfId="7" applyFill="1" applyBorder="1" applyAlignment="1" applyProtection="1">
      <alignment horizontal="center" vertical="center"/>
      <protection locked="0"/>
    </xf>
    <xf numFmtId="0" fontId="1" fillId="3" borderId="2" xfId="7" applyFill="1" applyBorder="1" applyAlignment="1" applyProtection="1">
      <alignment horizontal="center" vertical="center"/>
      <protection locked="0"/>
    </xf>
    <xf numFmtId="0" fontId="1" fillId="0" borderId="7" xfId="7" applyBorder="1" applyAlignment="1">
      <alignment horizontal="right" vertical="center" indent="1"/>
    </xf>
    <xf numFmtId="0" fontId="1" fillId="0" borderId="37" xfId="7" applyBorder="1" applyAlignment="1">
      <alignment horizontal="right" vertical="center" indent="1"/>
    </xf>
    <xf numFmtId="0" fontId="1" fillId="0" borderId="8" xfId="7" applyBorder="1" applyAlignment="1">
      <alignment horizontal="right" vertical="center" indent="1"/>
    </xf>
    <xf numFmtId="0" fontId="1" fillId="0" borderId="25" xfId="7" applyBorder="1" applyAlignment="1">
      <alignment horizontal="right" vertical="center" indent="1"/>
    </xf>
    <xf numFmtId="0" fontId="2" fillId="0" borderId="8" xfId="7" applyFont="1" applyBorder="1" applyAlignment="1">
      <alignment horizontal="center" vertical="center"/>
    </xf>
    <xf numFmtId="0" fontId="2" fillId="0" borderId="0" xfId="7" applyFont="1" applyAlignment="1">
      <alignment horizontal="center" vertical="center"/>
    </xf>
    <xf numFmtId="0" fontId="44" fillId="0" borderId="0" xfId="0" applyFont="1" applyAlignment="1">
      <alignment horizontal="center"/>
    </xf>
    <xf numFmtId="0" fontId="8" fillId="0" borderId="4" xfId="0" applyFont="1" applyBorder="1" applyAlignment="1">
      <alignment horizontal="left" indent="1"/>
    </xf>
    <xf numFmtId="0" fontId="8" fillId="0" borderId="2" xfId="0" applyFont="1" applyBorder="1" applyAlignment="1">
      <alignment horizontal="left" indent="1"/>
    </xf>
    <xf numFmtId="0" fontId="8" fillId="3" borderId="4" xfId="0" applyFont="1" applyFill="1" applyBorder="1" applyAlignment="1" applyProtection="1">
      <alignment horizontal="left" indent="1"/>
      <protection locked="0"/>
    </xf>
    <xf numFmtId="0" fontId="8" fillId="3" borderId="1" xfId="0" applyFont="1" applyFill="1" applyBorder="1" applyAlignment="1" applyProtection="1">
      <alignment horizontal="left" indent="1"/>
      <protection locked="0"/>
    </xf>
    <xf numFmtId="0" fontId="8" fillId="3" borderId="2" xfId="0" applyFont="1" applyFill="1" applyBorder="1" applyAlignment="1" applyProtection="1">
      <alignment horizontal="left" indent="1"/>
      <protection locked="0"/>
    </xf>
    <xf numFmtId="0" fontId="8" fillId="0" borderId="38" xfId="0" applyFont="1" applyBorder="1" applyAlignment="1">
      <alignment horizontal="left" indent="1"/>
    </xf>
    <xf numFmtId="0" fontId="8" fillId="0" borderId="39" xfId="0" applyFont="1" applyBorder="1" applyAlignment="1">
      <alignment horizontal="left" indent="1"/>
    </xf>
    <xf numFmtId="0" fontId="8" fillId="0" borderId="40" xfId="0" applyFont="1" applyBorder="1" applyAlignment="1">
      <alignment horizontal="left" indent="1"/>
    </xf>
    <xf numFmtId="0" fontId="8" fillId="0" borderId="41" xfId="0" applyFont="1" applyBorder="1" applyAlignment="1">
      <alignment horizontal="left" indent="1"/>
    </xf>
    <xf numFmtId="0" fontId="8" fillId="0" borderId="42" xfId="0" applyFont="1" applyBorder="1" applyAlignment="1">
      <alignment horizontal="left" indent="1"/>
    </xf>
    <xf numFmtId="0" fontId="8" fillId="0" borderId="43" xfId="0" applyFont="1" applyBorder="1" applyAlignment="1">
      <alignment horizontal="left" indent="1"/>
    </xf>
    <xf numFmtId="0" fontId="8" fillId="0" borderId="44" xfId="0" applyFont="1" applyBorder="1" applyAlignment="1">
      <alignment horizontal="left" vertical="top" indent="1"/>
    </xf>
    <xf numFmtId="0" fontId="8" fillId="0" borderId="45" xfId="0" applyFont="1" applyBorder="1" applyAlignment="1">
      <alignment horizontal="left" vertical="top" indent="1"/>
    </xf>
    <xf numFmtId="0" fontId="8" fillId="0" borderId="46" xfId="0" applyFont="1" applyBorder="1" applyAlignment="1">
      <alignment horizontal="left" vertical="top" indent="1"/>
    </xf>
    <xf numFmtId="0" fontId="8" fillId="0" borderId="47" xfId="0" applyFont="1" applyBorder="1" applyAlignment="1">
      <alignment horizontal="left" vertical="top" indent="1"/>
    </xf>
    <xf numFmtId="0" fontId="8" fillId="0" borderId="1" xfId="0" applyFont="1" applyBorder="1" applyAlignment="1">
      <alignment horizontal="left" indent="1"/>
    </xf>
    <xf numFmtId="0" fontId="8" fillId="3" borderId="4" xfId="0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8" fillId="0" borderId="48" xfId="0" applyFont="1" applyBorder="1" applyAlignment="1">
      <alignment horizontal="left" indent="1"/>
    </xf>
    <xf numFmtId="0" fontId="8" fillId="0" borderId="27" xfId="0" applyFont="1" applyBorder="1" applyAlignment="1">
      <alignment horizontal="left" indent="1"/>
    </xf>
    <xf numFmtId="0" fontId="8" fillId="0" borderId="49" xfId="0" applyFont="1" applyBorder="1" applyAlignment="1">
      <alignment horizontal="left" indent="1"/>
    </xf>
    <xf numFmtId="0" fontId="13" fillId="0" borderId="39" xfId="0" applyFont="1" applyBorder="1" applyAlignment="1">
      <alignment horizontal="right" vertical="center" indent="1"/>
    </xf>
    <xf numFmtId="0" fontId="8" fillId="3" borderId="4" xfId="4" applyFont="1" applyFill="1" applyBorder="1" applyAlignment="1" applyProtection="1">
      <alignment horizontal="left" indent="1"/>
      <protection locked="0"/>
    </xf>
    <xf numFmtId="0" fontId="8" fillId="3" borderId="1" xfId="4" applyFont="1" applyFill="1" applyBorder="1" applyAlignment="1" applyProtection="1">
      <alignment horizontal="left" indent="1"/>
      <protection locked="0"/>
    </xf>
    <xf numFmtId="0" fontId="8" fillId="3" borderId="2" xfId="4" applyFont="1" applyFill="1" applyBorder="1" applyAlignment="1" applyProtection="1">
      <alignment horizontal="left" indent="1"/>
      <protection locked="0"/>
    </xf>
    <xf numFmtId="0" fontId="4" fillId="0" borderId="0" xfId="4" applyFont="1" applyAlignment="1">
      <alignment horizontal="right" indent="1"/>
    </xf>
    <xf numFmtId="0" fontId="8" fillId="0" borderId="17" xfId="4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33" fillId="0" borderId="21" xfId="0" applyFont="1" applyBorder="1" applyAlignment="1">
      <alignment horizontal="center" wrapText="1"/>
    </xf>
    <xf numFmtId="0" fontId="33" fillId="0" borderId="27" xfId="0" applyFont="1" applyBorder="1" applyAlignment="1">
      <alignment horizontal="center" wrapText="1"/>
    </xf>
    <xf numFmtId="0" fontId="33" fillId="0" borderId="19" xfId="0" applyFont="1" applyBorder="1" applyAlignment="1">
      <alignment horizontal="center" wrapText="1"/>
    </xf>
    <xf numFmtId="0" fontId="33" fillId="0" borderId="21" xfId="0" applyFont="1" applyBorder="1" applyAlignment="1">
      <alignment wrapText="1"/>
    </xf>
    <xf numFmtId="0" fontId="33" fillId="0" borderId="27" xfId="0" applyFont="1" applyBorder="1" applyAlignment="1">
      <alignment wrapText="1"/>
    </xf>
    <xf numFmtId="0" fontId="33" fillId="0" borderId="19" xfId="0" applyFont="1" applyBorder="1" applyAlignment="1">
      <alignment wrapText="1"/>
    </xf>
    <xf numFmtId="0" fontId="33" fillId="0" borderId="21" xfId="0" applyFont="1" applyBorder="1" applyAlignment="1">
      <alignment vertical="center" wrapText="1"/>
    </xf>
    <xf numFmtId="0" fontId="33" fillId="0" borderId="27" xfId="0" applyFont="1" applyBorder="1" applyAlignment="1">
      <alignment vertical="center" wrapText="1"/>
    </xf>
    <xf numFmtId="0" fontId="33" fillId="0" borderId="19" xfId="0" applyFont="1" applyBorder="1" applyAlignment="1">
      <alignment vertical="center" wrapText="1"/>
    </xf>
    <xf numFmtId="0" fontId="32" fillId="0" borderId="24" xfId="0" applyFont="1" applyBorder="1" applyAlignment="1">
      <alignment vertical="top" wrapText="1"/>
    </xf>
    <xf numFmtId="0" fontId="32" fillId="0" borderId="34" xfId="0" applyFont="1" applyBorder="1" applyAlignment="1">
      <alignment vertical="top" wrapText="1"/>
    </xf>
    <xf numFmtId="0" fontId="32" fillId="0" borderId="23" xfId="0" applyFont="1" applyBorder="1" applyAlignment="1">
      <alignment vertical="top" wrapText="1"/>
    </xf>
    <xf numFmtId="0" fontId="32" fillId="0" borderId="26" xfId="0" applyFont="1" applyBorder="1" applyAlignment="1">
      <alignment vertical="top" wrapText="1"/>
    </xf>
    <xf numFmtId="0" fontId="32" fillId="0" borderId="35" xfId="0" applyFont="1" applyBorder="1" applyAlignment="1">
      <alignment vertical="top" wrapText="1"/>
    </xf>
    <xf numFmtId="0" fontId="32" fillId="0" borderId="20" xfId="0" applyFont="1" applyBorder="1" applyAlignment="1">
      <alignment vertical="top" wrapText="1"/>
    </xf>
    <xf numFmtId="0" fontId="32" fillId="0" borderId="21" xfId="0" applyFont="1" applyBorder="1" applyAlignment="1">
      <alignment vertical="top" wrapText="1"/>
    </xf>
    <xf numFmtId="0" fontId="32" fillId="0" borderId="19" xfId="0" applyFont="1" applyBorder="1" applyAlignment="1">
      <alignment vertical="top" wrapText="1"/>
    </xf>
    <xf numFmtId="0" fontId="24" fillId="0" borderId="21" xfId="0" applyFont="1" applyBorder="1" applyAlignment="1">
      <alignment vertical="center" wrapText="1"/>
    </xf>
    <xf numFmtId="0" fontId="24" fillId="0" borderId="27" xfId="0" applyFont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7" fillId="3" borderId="21" xfId="0" applyFont="1" applyFill="1" applyBorder="1" applyAlignment="1" applyProtection="1">
      <alignment horizontal="left" vertical="center"/>
      <protection locked="0"/>
    </xf>
    <xf numFmtId="0" fontId="7" fillId="3" borderId="19" xfId="0" applyFont="1" applyFill="1" applyBorder="1" applyAlignment="1" applyProtection="1">
      <alignment horizontal="left" vertical="center"/>
      <protection locked="0"/>
    </xf>
    <xf numFmtId="0" fontId="7" fillId="3" borderId="21" xfId="0" applyFont="1" applyFill="1" applyBorder="1" applyAlignment="1" applyProtection="1">
      <alignment horizontal="left" vertical="center" wrapText="1"/>
      <protection locked="0"/>
    </xf>
    <xf numFmtId="0" fontId="7" fillId="3" borderId="19" xfId="0" applyFont="1" applyFill="1" applyBorder="1" applyAlignment="1" applyProtection="1">
      <alignment horizontal="left" vertical="center" wrapText="1"/>
      <protection locked="0"/>
    </xf>
    <xf numFmtId="0" fontId="7" fillId="0" borderId="34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2" fillId="0" borderId="35" xfId="0" applyFont="1" applyBorder="1" applyAlignment="1" applyProtection="1">
      <alignment horizontal="center" wrapText="1"/>
      <protection locked="0"/>
    </xf>
    <xf numFmtId="0" fontId="2" fillId="0" borderId="20" xfId="0" applyFont="1" applyBorder="1" applyAlignment="1" applyProtection="1">
      <alignment horizontal="center" wrapText="1"/>
      <protection locked="0"/>
    </xf>
    <xf numFmtId="0" fontId="36" fillId="0" borderId="30" xfId="0" applyFont="1" applyBorder="1" applyAlignment="1" applyProtection="1">
      <alignment horizontal="center" vertical="top" wrapText="1"/>
      <protection locked="0"/>
    </xf>
    <xf numFmtId="0" fontId="36" fillId="0" borderId="17" xfId="0" applyFont="1" applyBorder="1" applyAlignment="1" applyProtection="1">
      <alignment horizontal="center" vertical="top" wrapText="1"/>
      <protection locked="0"/>
    </xf>
    <xf numFmtId="0" fontId="36" fillId="0" borderId="31" xfId="0" applyFont="1" applyBorder="1" applyAlignment="1" applyProtection="1">
      <alignment horizontal="center" vertical="top" wrapText="1"/>
      <protection locked="0"/>
    </xf>
    <xf numFmtId="0" fontId="24" fillId="0" borderId="8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37" fillId="0" borderId="7" xfId="0" applyFont="1" applyBorder="1" applyAlignment="1">
      <alignment horizontal="left" vertical="top" wrapText="1"/>
    </xf>
    <xf numFmtId="0" fontId="37" fillId="0" borderId="29" xfId="0" applyFont="1" applyBorder="1" applyAlignment="1">
      <alignment horizontal="left" vertical="top" wrapText="1"/>
    </xf>
    <xf numFmtId="0" fontId="37" fillId="0" borderId="37" xfId="0" applyFont="1" applyBorder="1" applyAlignment="1">
      <alignment horizontal="left" vertical="top" wrapText="1"/>
    </xf>
    <xf numFmtId="0" fontId="59" fillId="0" borderId="0" xfId="7" applyFont="1" applyAlignment="1">
      <alignment horizontal="left" vertical="center"/>
    </xf>
    <xf numFmtId="0" fontId="61" fillId="0" borderId="0" xfId="7" applyFont="1" applyAlignment="1">
      <alignment horizontal="left" wrapText="1" indent="1"/>
    </xf>
    <xf numFmtId="0" fontId="26" fillId="0" borderId="4" xfId="7" applyFont="1" applyBorder="1" applyAlignment="1">
      <alignment horizontal="left" vertical="center" indent="1"/>
    </xf>
    <xf numFmtId="0" fontId="26" fillId="0" borderId="1" xfId="7" applyFont="1" applyBorder="1" applyAlignment="1">
      <alignment horizontal="left" vertical="center" indent="1"/>
    </xf>
    <xf numFmtId="4" fontId="1" fillId="0" borderId="4" xfId="7" applyNumberFormat="1" applyBorder="1" applyAlignment="1" applyProtection="1">
      <alignment horizontal="left" vertical="center" indent="1"/>
      <protection locked="0"/>
    </xf>
    <xf numFmtId="4" fontId="1" fillId="0" borderId="2" xfId="7" applyNumberFormat="1" applyBorder="1" applyAlignment="1" applyProtection="1">
      <alignment horizontal="left" vertical="center" indent="1"/>
      <protection locked="0"/>
    </xf>
  </cellXfs>
  <cellStyles count="9">
    <cellStyle name="Comma 2" xfId="1" xr:uid="{00000000-0005-0000-0000-000000000000}"/>
    <cellStyle name="Komma" xfId="2" builtinId="3"/>
    <cellStyle name="Link" xfId="6" builtinId="8"/>
    <cellStyle name="Prozent 2" xfId="8" xr:uid="{00000000-0005-0000-0000-000003000000}"/>
    <cellStyle name="Standard" xfId="0" builtinId="0"/>
    <cellStyle name="Standard 2" xfId="3" xr:uid="{00000000-0005-0000-0000-000005000000}"/>
    <cellStyle name="Standard 2 2" xfId="7" xr:uid="{00000000-0005-0000-0000-000006000000}"/>
    <cellStyle name="Standard 3" xfId="4" xr:uid="{00000000-0005-0000-0000-000007000000}"/>
    <cellStyle name="Standard 4" xfId="5" xr:uid="{00000000-0005-0000-0000-000008000000}"/>
  </cellStyles>
  <dxfs count="96">
    <dxf>
      <font>
        <strike val="0"/>
      </font>
      <fill>
        <patternFill>
          <bgColor theme="6" tint="0.39994506668294322"/>
        </patternFill>
      </fill>
    </dxf>
    <dxf>
      <font>
        <condense val="0"/>
        <extend val="0"/>
        <color indexed="22"/>
      </font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22"/>
      </font>
      <fill>
        <patternFill>
          <bgColor indexed="43"/>
        </patternFill>
      </fill>
    </dxf>
    <dxf>
      <font>
        <condense val="0"/>
        <extend val="0"/>
        <color indexed="22"/>
      </font>
      <fill>
        <patternFill>
          <bgColor indexed="43"/>
        </patternFill>
      </fill>
    </dxf>
    <dxf>
      <font>
        <condense val="0"/>
        <extend val="0"/>
        <color indexed="22"/>
      </font>
      <fill>
        <patternFill>
          <bgColor indexed="43"/>
        </patternFill>
      </fill>
    </dxf>
    <dxf>
      <font>
        <condense val="0"/>
        <extend val="0"/>
        <color indexed="22"/>
      </font>
      <fill>
        <patternFill>
          <bgColor indexed="43"/>
        </patternFill>
      </fill>
    </dxf>
    <dxf>
      <font>
        <condense val="0"/>
        <extend val="0"/>
        <color indexed="22"/>
      </font>
      <fill>
        <patternFill>
          <bgColor indexed="43"/>
        </patternFill>
      </fill>
    </dxf>
    <dxf>
      <font>
        <color rgb="FFFFFF99"/>
      </font>
    </dxf>
    <dxf>
      <font>
        <color rgb="FFFBF86C"/>
      </font>
    </dxf>
    <dxf>
      <font>
        <condense val="0"/>
        <extend val="0"/>
        <color indexed="22"/>
      </font>
      <fill>
        <patternFill>
          <bgColor indexed="43"/>
        </patternFill>
      </fill>
    </dxf>
    <dxf>
      <font>
        <condense val="0"/>
        <extend val="0"/>
        <color indexed="22"/>
      </font>
      <fill>
        <patternFill>
          <bgColor indexed="43"/>
        </patternFill>
      </fill>
    </dxf>
    <dxf>
      <font>
        <condense val="0"/>
        <extend val="0"/>
        <color indexed="22"/>
      </font>
      <fill>
        <patternFill>
          <bgColor indexed="43"/>
        </patternFill>
      </fill>
    </dxf>
    <dxf>
      <font>
        <condense val="0"/>
        <extend val="0"/>
        <color indexed="22"/>
      </font>
      <fill>
        <patternFill>
          <bgColor indexed="43"/>
        </patternFill>
      </fill>
    </dxf>
    <dxf>
      <font>
        <condense val="0"/>
        <extend val="0"/>
        <color indexed="22"/>
      </font>
      <fill>
        <patternFill>
          <bgColor indexed="43"/>
        </patternFill>
      </fill>
    </dxf>
    <dxf>
      <font>
        <condense val="0"/>
        <extend val="0"/>
        <color indexed="22"/>
      </font>
      <fill>
        <patternFill>
          <bgColor indexed="43"/>
        </patternFill>
      </fill>
    </dxf>
    <dxf>
      <font>
        <b/>
        <i/>
        <strike val="0"/>
        <color rgb="FFFF0000"/>
      </font>
    </dxf>
    <dxf>
      <font>
        <color theme="0" tint="-0.24994659260841701"/>
      </font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69696"/>
      </font>
      <fill>
        <patternFill>
          <bgColor rgb="FFFFFF99"/>
        </patternFill>
      </fill>
    </dxf>
    <dxf>
      <font>
        <color rgb="FF969696"/>
      </font>
      <fill>
        <patternFill>
          <bgColor rgb="FFFFFF99"/>
        </patternFill>
      </fill>
    </dxf>
    <dxf>
      <font>
        <color rgb="FF969696"/>
      </font>
      <fill>
        <patternFill>
          <bgColor rgb="FFFFFF99"/>
        </patternFill>
      </fill>
    </dxf>
    <dxf>
      <fill>
        <patternFill>
          <bgColor indexed="10"/>
        </patternFill>
      </fill>
    </dxf>
    <dxf>
      <font>
        <color rgb="FFFFFF99"/>
      </font>
    </dxf>
    <dxf>
      <font>
        <condense val="0"/>
        <extend val="0"/>
        <color indexed="22"/>
      </font>
      <fill>
        <patternFill>
          <bgColor indexed="43"/>
        </patternFill>
      </fill>
    </dxf>
    <dxf>
      <font>
        <condense val="0"/>
        <extend val="0"/>
        <color indexed="22"/>
      </font>
    </dxf>
    <dxf>
      <font>
        <color rgb="FF969696"/>
      </font>
      <fill>
        <patternFill>
          <bgColor rgb="FFFFFF99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ndense val="0"/>
        <extend val="0"/>
        <color indexed="22"/>
      </font>
    </dxf>
    <dxf>
      <font>
        <color rgb="FF969696"/>
      </font>
      <fill>
        <patternFill>
          <bgColor rgb="FFFFFF99"/>
        </patternFill>
      </fill>
    </dxf>
    <dxf>
      <font>
        <color rgb="FF969696"/>
      </font>
      <fill>
        <patternFill>
          <bgColor rgb="FFFFFF99"/>
        </patternFill>
      </fill>
    </dxf>
    <dxf>
      <font>
        <color rgb="FF969696"/>
      </font>
      <fill>
        <patternFill>
          <bgColor rgb="FFFFFF99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indexed="10"/>
        </patternFill>
      </fill>
    </dxf>
    <dxf>
      <font>
        <color rgb="FFFFFF99"/>
      </font>
    </dxf>
    <dxf>
      <font>
        <condense val="0"/>
        <extend val="0"/>
        <color indexed="22"/>
      </font>
      <fill>
        <patternFill>
          <bgColor indexed="43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969696"/>
      </font>
      <fill>
        <patternFill>
          <bgColor rgb="FFFFFF99"/>
        </patternFill>
      </fill>
    </dxf>
    <dxf>
      <font>
        <color rgb="FF969696"/>
      </font>
      <fill>
        <patternFill>
          <bgColor rgb="FFFFFF99"/>
        </patternFill>
      </fill>
    </dxf>
    <dxf>
      <font>
        <color rgb="FF969696"/>
      </font>
      <fill>
        <patternFill>
          <bgColor rgb="FFFFFF99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indexed="22"/>
      </font>
      <fill>
        <patternFill>
          <bgColor indexed="43"/>
        </patternFill>
      </fill>
    </dxf>
    <dxf>
      <font>
        <condense val="0"/>
        <extend val="0"/>
        <color indexed="22"/>
      </font>
      <fill>
        <patternFill>
          <bgColor indexed="43"/>
        </patternFill>
      </fill>
    </dxf>
    <dxf>
      <font>
        <condense val="0"/>
        <extend val="0"/>
        <color indexed="22"/>
      </font>
      <fill>
        <patternFill>
          <bgColor indexed="43"/>
        </patternFill>
      </fill>
    </dxf>
    <dxf>
      <font>
        <condense val="0"/>
        <extend val="0"/>
        <color indexed="22"/>
      </font>
      <fill>
        <patternFill>
          <bgColor indexed="43"/>
        </patternFill>
      </fill>
    </dxf>
    <dxf>
      <font>
        <condense val="0"/>
        <extend val="0"/>
        <color indexed="22"/>
      </font>
      <fill>
        <patternFill>
          <bgColor indexed="43"/>
        </patternFill>
      </fill>
    </dxf>
    <dxf>
      <font>
        <condense val="0"/>
        <extend val="0"/>
        <color indexed="22"/>
      </font>
      <fill>
        <patternFill>
          <bgColor indexed="43"/>
        </patternFill>
      </fill>
    </dxf>
    <dxf>
      <font>
        <condense val="0"/>
        <extend val="0"/>
        <color indexed="22"/>
      </font>
      <fill>
        <patternFill>
          <bgColor indexed="43"/>
        </patternFill>
      </fill>
    </dxf>
    <dxf>
      <font>
        <condense val="0"/>
        <extend val="0"/>
        <color indexed="22"/>
      </font>
      <fill>
        <patternFill>
          <bgColor indexed="43"/>
        </patternFill>
      </fill>
    </dxf>
    <dxf>
      <font>
        <condense val="0"/>
        <extend val="0"/>
        <color indexed="22"/>
      </font>
      <fill>
        <patternFill>
          <bgColor indexed="43"/>
        </patternFill>
      </fill>
    </dxf>
    <dxf>
      <font>
        <color rgb="FFFFFF99"/>
      </font>
    </dxf>
    <dxf>
      <font>
        <color theme="0"/>
      </font>
    </dxf>
    <dxf>
      <font>
        <strike val="0"/>
      </font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right/>
        <top/>
        <bottom/>
      </border>
    </dxf>
    <dxf>
      <font>
        <color auto="1"/>
      </font>
      <fill>
        <patternFill patternType="solid">
          <bgColor rgb="FF92D050"/>
        </patternFill>
      </fill>
    </dxf>
    <dxf>
      <font>
        <condense val="0"/>
        <extend val="0"/>
        <color indexed="22"/>
      </font>
      <fill>
        <patternFill>
          <bgColor indexed="43"/>
        </patternFill>
      </fill>
    </dxf>
    <dxf>
      <font>
        <condense val="0"/>
        <extend val="0"/>
        <color indexed="22"/>
      </font>
      <fill>
        <patternFill>
          <bgColor indexed="43"/>
        </patternFill>
      </fill>
    </dxf>
    <dxf>
      <font>
        <condense val="0"/>
        <extend val="0"/>
        <color indexed="22"/>
      </font>
      <fill>
        <patternFill>
          <bgColor indexed="43"/>
        </patternFill>
      </fill>
    </dxf>
    <dxf>
      <font>
        <condense val="0"/>
        <extend val="0"/>
        <color indexed="22"/>
      </font>
      <fill>
        <patternFill>
          <bgColor indexed="43"/>
        </patternFill>
      </fill>
    </dxf>
    <dxf>
      <font>
        <condense val="0"/>
        <extend val="0"/>
        <color indexed="22"/>
      </font>
      <fill>
        <patternFill>
          <bgColor indexed="43"/>
        </patternFill>
      </fill>
    </dxf>
    <dxf>
      <font>
        <color indexed="55"/>
      </font>
      <fill>
        <patternFill>
          <bgColor indexed="43"/>
        </patternFill>
      </fill>
    </dxf>
    <dxf>
      <font>
        <condense val="0"/>
        <extend val="0"/>
        <color indexed="22"/>
      </font>
      <fill>
        <patternFill>
          <bgColor indexed="43"/>
        </patternFill>
      </fill>
    </dxf>
    <dxf>
      <font>
        <condense val="0"/>
        <extend val="0"/>
        <color indexed="22"/>
      </font>
      <fill>
        <patternFill>
          <bgColor indexed="43"/>
        </patternFill>
      </fill>
    </dxf>
    <dxf>
      <font>
        <color rgb="FFFFFF99"/>
      </font>
    </dxf>
    <dxf>
      <font>
        <condense val="0"/>
        <extend val="0"/>
        <color indexed="22"/>
      </font>
      <fill>
        <patternFill>
          <bgColor indexed="43"/>
        </patternFill>
      </fill>
    </dxf>
    <dxf>
      <font>
        <condense val="0"/>
        <extend val="0"/>
        <color indexed="22"/>
      </font>
      <fill>
        <patternFill>
          <bgColor indexed="43"/>
        </patternFill>
      </fill>
    </dxf>
    <dxf>
      <font>
        <color rgb="FFFF0000"/>
      </font>
      <fill>
        <patternFill>
          <bgColor rgb="FFFFFF99"/>
        </patternFill>
      </fill>
    </dxf>
    <dxf>
      <font>
        <condense val="0"/>
        <extend val="0"/>
        <color indexed="22"/>
      </font>
      <fill>
        <patternFill>
          <bgColor indexed="43"/>
        </patternFill>
      </fill>
    </dxf>
    <dxf>
      <font>
        <condense val="0"/>
        <extend val="0"/>
        <color indexed="22"/>
      </font>
      <fill>
        <patternFill>
          <bgColor indexed="43"/>
        </patternFill>
      </fill>
    </dxf>
    <dxf>
      <font>
        <color theme="0" tint="-0.24994659260841701"/>
      </font>
    </dxf>
    <dxf>
      <font>
        <condense val="0"/>
        <extend val="0"/>
        <color indexed="22"/>
      </font>
      <fill>
        <patternFill>
          <bgColor indexed="43"/>
        </patternFill>
      </fill>
    </dxf>
    <dxf>
      <font>
        <color indexed="55"/>
      </font>
      <fill>
        <patternFill>
          <bgColor indexed="43"/>
        </patternFill>
      </fill>
    </dxf>
    <dxf>
      <font>
        <condense val="0"/>
        <extend val="0"/>
        <color indexed="22"/>
      </font>
      <fill>
        <patternFill>
          <bgColor indexed="43"/>
        </patternFill>
      </fill>
    </dxf>
    <dxf>
      <font>
        <color rgb="FF969696"/>
      </font>
    </dxf>
    <dxf>
      <font>
        <color auto="1"/>
      </font>
      <fill>
        <patternFill patternType="none">
          <bgColor auto="1"/>
        </patternFill>
      </fill>
    </dxf>
    <dxf>
      <font>
        <color rgb="FF969696"/>
      </font>
      <fill>
        <patternFill>
          <bgColor rgb="FFFFFF99"/>
        </patternFill>
      </fill>
    </dxf>
    <dxf>
      <font>
        <color rgb="FF969696"/>
      </font>
      <fill>
        <patternFill>
          <bgColor rgb="FFFFFF99"/>
        </patternFill>
      </fill>
    </dxf>
    <dxf>
      <font>
        <color rgb="FF969696"/>
      </font>
      <fill>
        <patternFill>
          <bgColor rgb="FFFFFF99"/>
        </patternFill>
      </fill>
    </dxf>
    <dxf>
      <font>
        <condense val="0"/>
        <extend val="0"/>
        <color indexed="22"/>
      </font>
      <fill>
        <patternFill>
          <bgColor indexed="43"/>
        </patternFill>
      </fill>
    </dxf>
    <dxf>
      <font>
        <color theme="0" tint="-0.24994659260841701"/>
      </font>
      <fill>
        <patternFill>
          <bgColor rgb="FFFFFF99"/>
        </patternFill>
      </fill>
    </dxf>
    <dxf>
      <font>
        <condense val="0"/>
        <extend val="0"/>
        <color indexed="22"/>
      </font>
      <fill>
        <patternFill>
          <bgColor indexed="43"/>
        </patternFill>
      </fill>
    </dxf>
    <dxf>
      <numFmt numFmtId="169" formatCode="m/d/yyyy"/>
    </dxf>
    <dxf>
      <numFmt numFmtId="169" formatCode="m/d/yyyy"/>
    </dxf>
    <dxf>
      <numFmt numFmtId="169" formatCode="m/d/yyyy"/>
    </dxf>
    <dxf>
      <numFmt numFmtId="169" formatCode="m/d/yyyy"/>
    </dxf>
  </dxfs>
  <tableStyles count="0" defaultTableStyle="TableStyleMedium9" defaultPivotStyle="PivotStyleLight16"/>
  <colors>
    <mruColors>
      <color rgb="FFFFFF99"/>
      <color rgb="FFFFFFCC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50</xdr:row>
      <xdr:rowOff>66675</xdr:rowOff>
    </xdr:from>
    <xdr:to>
      <xdr:col>5</xdr:col>
      <xdr:colOff>819150</xdr:colOff>
      <xdr:row>57</xdr:row>
      <xdr:rowOff>28574</xdr:rowOff>
    </xdr:to>
    <xdr:pic>
      <xdr:nvPicPr>
        <xdr:cNvPr id="10267" name="Picture 1">
          <a:extLst>
            <a:ext uri="{FF2B5EF4-FFF2-40B4-BE49-F238E27FC236}">
              <a16:creationId xmlns:a16="http://schemas.microsoft.com/office/drawing/2014/main" id="{00000000-0008-0000-0200-00001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086225"/>
          <a:ext cx="62865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63</xdr:row>
      <xdr:rowOff>38101</xdr:rowOff>
    </xdr:from>
    <xdr:to>
      <xdr:col>4</xdr:col>
      <xdr:colOff>0</xdr:colOff>
      <xdr:row>77</xdr:row>
      <xdr:rowOff>74297</xdr:rowOff>
    </xdr:to>
    <xdr:pic>
      <xdr:nvPicPr>
        <xdr:cNvPr id="10268" name="Picture 2">
          <a:extLst>
            <a:ext uri="{FF2B5EF4-FFF2-40B4-BE49-F238E27FC236}">
              <a16:creationId xmlns:a16="http://schemas.microsoft.com/office/drawing/2014/main" id="{00000000-0008-0000-0200-00001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781926"/>
          <a:ext cx="4429125" cy="2303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83</xdr:row>
      <xdr:rowOff>66675</xdr:rowOff>
    </xdr:from>
    <xdr:to>
      <xdr:col>5</xdr:col>
      <xdr:colOff>457200</xdr:colOff>
      <xdr:row>91</xdr:row>
      <xdr:rowOff>47624</xdr:rowOff>
    </xdr:to>
    <xdr:pic>
      <xdr:nvPicPr>
        <xdr:cNvPr id="10269" name="Picture 4">
          <a:extLst>
            <a:ext uri="{FF2B5EF4-FFF2-40B4-BE49-F238E27FC236}">
              <a16:creationId xmlns:a16="http://schemas.microsoft.com/office/drawing/2014/main" id="{00000000-0008-0000-0200-00001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429750"/>
          <a:ext cx="59055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91</xdr:row>
      <xdr:rowOff>95250</xdr:rowOff>
    </xdr:from>
    <xdr:to>
      <xdr:col>5</xdr:col>
      <xdr:colOff>438150</xdr:colOff>
      <xdr:row>98</xdr:row>
      <xdr:rowOff>152400</xdr:rowOff>
    </xdr:to>
    <xdr:pic>
      <xdr:nvPicPr>
        <xdr:cNvPr id="10270" name="Picture 6">
          <a:extLst>
            <a:ext uri="{FF2B5EF4-FFF2-40B4-BE49-F238E27FC236}">
              <a16:creationId xmlns:a16="http://schemas.microsoft.com/office/drawing/2014/main" id="{00000000-0008-0000-0200-00001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753725"/>
          <a:ext cx="58674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110557</xdr:colOff>
      <xdr:row>0</xdr:row>
      <xdr:rowOff>0</xdr:rowOff>
    </xdr:from>
    <xdr:to>
      <xdr:col>5</xdr:col>
      <xdr:colOff>1219201</xdr:colOff>
      <xdr:row>1</xdr:row>
      <xdr:rowOff>104775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1732" y="0"/>
          <a:ext cx="1108644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981075</xdr:colOff>
      <xdr:row>3</xdr:row>
      <xdr:rowOff>38100</xdr:rowOff>
    </xdr:from>
    <xdr:to>
      <xdr:col>6</xdr:col>
      <xdr:colOff>48322</xdr:colOff>
      <xdr:row>7</xdr:row>
      <xdr:rowOff>62671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219575" y="895350"/>
          <a:ext cx="2648647" cy="672271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30</xdr:row>
      <xdr:rowOff>20961</xdr:rowOff>
    </xdr:from>
    <xdr:to>
      <xdr:col>9</xdr:col>
      <xdr:colOff>574989</xdr:colOff>
      <xdr:row>42</xdr:row>
      <xdr:rowOff>66675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886450" y="563886"/>
          <a:ext cx="2232339" cy="2217414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</xdr:colOff>
      <xdr:row>31</xdr:row>
      <xdr:rowOff>38100</xdr:rowOff>
    </xdr:from>
    <xdr:to>
      <xdr:col>12</xdr:col>
      <xdr:colOff>9525</xdr:colOff>
      <xdr:row>37</xdr:row>
      <xdr:rowOff>45739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391525" y="762000"/>
          <a:ext cx="1676400" cy="109348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28</xdr:row>
      <xdr:rowOff>133350</xdr:rowOff>
    </xdr:from>
    <xdr:to>
      <xdr:col>3</xdr:col>
      <xdr:colOff>247650</xdr:colOff>
      <xdr:row>30</xdr:row>
      <xdr:rowOff>102803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514600" y="314325"/>
          <a:ext cx="247650" cy="302828"/>
        </a:xfrm>
        <a:prstGeom prst="rect">
          <a:avLst/>
        </a:prstGeom>
      </xdr:spPr>
    </xdr:pic>
    <xdr:clientData/>
  </xdr:twoCellAnchor>
  <xdr:twoCellAnchor editAs="oneCell">
    <xdr:from>
      <xdr:col>10</xdr:col>
      <xdr:colOff>333375</xdr:colOff>
      <xdr:row>37</xdr:row>
      <xdr:rowOff>95250</xdr:rowOff>
    </xdr:from>
    <xdr:to>
      <xdr:col>10</xdr:col>
      <xdr:colOff>581025</xdr:colOff>
      <xdr:row>39</xdr:row>
      <xdr:rowOff>36128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715375" y="1905000"/>
          <a:ext cx="247650" cy="302828"/>
        </a:xfrm>
        <a:prstGeom prst="rect">
          <a:avLst/>
        </a:prstGeom>
      </xdr:spPr>
    </xdr:pic>
    <xdr:clientData/>
  </xdr:twoCellAnchor>
  <xdr:twoCellAnchor editAs="oneCell">
    <xdr:from>
      <xdr:col>4</xdr:col>
      <xdr:colOff>800101</xdr:colOff>
      <xdr:row>32</xdr:row>
      <xdr:rowOff>38100</xdr:rowOff>
    </xdr:from>
    <xdr:to>
      <xdr:col>6</xdr:col>
      <xdr:colOff>1</xdr:colOff>
      <xdr:row>37</xdr:row>
      <xdr:rowOff>55790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152901" y="942975"/>
          <a:ext cx="876300" cy="922565"/>
        </a:xfrm>
        <a:prstGeom prst="rect">
          <a:avLst/>
        </a:prstGeom>
      </xdr:spPr>
    </xdr:pic>
    <xdr:clientData/>
  </xdr:twoCellAnchor>
  <xdr:twoCellAnchor editAs="oneCell">
    <xdr:from>
      <xdr:col>2</xdr:col>
      <xdr:colOff>609600</xdr:colOff>
      <xdr:row>36</xdr:row>
      <xdr:rowOff>28575</xdr:rowOff>
    </xdr:from>
    <xdr:to>
      <xdr:col>4</xdr:col>
      <xdr:colOff>685800</xdr:colOff>
      <xdr:row>41</xdr:row>
      <xdr:rowOff>68132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286000" y="1657350"/>
          <a:ext cx="1752600" cy="944432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285751</xdr:colOff>
      <xdr:row>41</xdr:row>
      <xdr:rowOff>19050</xdr:rowOff>
    </xdr:from>
    <xdr:to>
      <xdr:col>3</xdr:col>
      <xdr:colOff>66441</xdr:colOff>
      <xdr:row>45</xdr:row>
      <xdr:rowOff>152400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23951" y="2552700"/>
          <a:ext cx="1457090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68</xdr:row>
      <xdr:rowOff>142875</xdr:rowOff>
    </xdr:from>
    <xdr:to>
      <xdr:col>8</xdr:col>
      <xdr:colOff>1238250</xdr:colOff>
      <xdr:row>68</xdr:row>
      <xdr:rowOff>142875</xdr:rowOff>
    </xdr:to>
    <xdr:sp macro="" textlink="">
      <xdr:nvSpPr>
        <xdr:cNvPr id="1237" name="Line 11">
          <a:extLst>
            <a:ext uri="{FF2B5EF4-FFF2-40B4-BE49-F238E27FC236}">
              <a16:creationId xmlns:a16="http://schemas.microsoft.com/office/drawing/2014/main" id="{00000000-0008-0000-0500-0000D5040000}"/>
            </a:ext>
          </a:extLst>
        </xdr:cNvPr>
        <xdr:cNvSpPr>
          <a:spLocks noChangeShapeType="1"/>
        </xdr:cNvSpPr>
      </xdr:nvSpPr>
      <xdr:spPr bwMode="auto">
        <a:xfrm>
          <a:off x="3943350" y="116871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200025</xdr:colOff>
      <xdr:row>11</xdr:row>
      <xdr:rowOff>104775</xdr:rowOff>
    </xdr:from>
    <xdr:to>
      <xdr:col>10</xdr:col>
      <xdr:colOff>542925</xdr:colOff>
      <xdr:row>11</xdr:row>
      <xdr:rowOff>104775</xdr:rowOff>
    </xdr:to>
    <xdr:sp macro="" textlink="">
      <xdr:nvSpPr>
        <xdr:cNvPr id="1238" name="Line 15">
          <a:extLst>
            <a:ext uri="{FF2B5EF4-FFF2-40B4-BE49-F238E27FC236}">
              <a16:creationId xmlns:a16="http://schemas.microsoft.com/office/drawing/2014/main" id="{00000000-0008-0000-0500-0000D6040000}"/>
            </a:ext>
          </a:extLst>
        </xdr:cNvPr>
        <xdr:cNvSpPr>
          <a:spLocks noChangeShapeType="1"/>
        </xdr:cNvSpPr>
      </xdr:nvSpPr>
      <xdr:spPr bwMode="auto">
        <a:xfrm>
          <a:off x="5200650" y="205740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276225</xdr:colOff>
      <xdr:row>3</xdr:row>
      <xdr:rowOff>66674</xdr:rowOff>
    </xdr:from>
    <xdr:to>
      <xdr:col>11</xdr:col>
      <xdr:colOff>777630</xdr:colOff>
      <xdr:row>8</xdr:row>
      <xdr:rowOff>101413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6850" y="676274"/>
          <a:ext cx="1501530" cy="828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1068480</xdr:colOff>
      <xdr:row>75</xdr:row>
      <xdr:rowOff>109816</xdr:rowOff>
    </xdr:from>
    <xdr:to>
      <xdr:col>9</xdr:col>
      <xdr:colOff>400049</xdr:colOff>
      <xdr:row>75</xdr:row>
      <xdr:rowOff>114299</xdr:rowOff>
    </xdr:to>
    <xdr:sp macro="" textlink="">
      <xdr:nvSpPr>
        <xdr:cNvPr id="2" name="Line 1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5716680" y="12254191"/>
          <a:ext cx="1112744" cy="448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11</xdr:row>
      <xdr:rowOff>104775</xdr:rowOff>
    </xdr:from>
    <xdr:to>
      <xdr:col>9</xdr:col>
      <xdr:colOff>542925</xdr:colOff>
      <xdr:row>11</xdr:row>
      <xdr:rowOff>104775</xdr:rowOff>
    </xdr:to>
    <xdr:sp macro="" textlink="">
      <xdr:nvSpPr>
        <xdr:cNvPr id="3" name="Line 15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>
          <a:off x="6629400" y="18859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336182</xdr:colOff>
      <xdr:row>3</xdr:row>
      <xdr:rowOff>44824</xdr:rowOff>
    </xdr:from>
    <xdr:ext cx="1613644" cy="890286"/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5557" y="530599"/>
          <a:ext cx="1613644" cy="89028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840440</xdr:colOff>
      <xdr:row>0</xdr:row>
      <xdr:rowOff>272140</xdr:rowOff>
    </xdr:from>
    <xdr:to>
      <xdr:col>6</xdr:col>
      <xdr:colOff>2135821</xdr:colOff>
      <xdr:row>3</xdr:row>
      <xdr:rowOff>30318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6726" y="272140"/>
          <a:ext cx="1295381" cy="6970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818030</xdr:colOff>
      <xdr:row>0</xdr:row>
      <xdr:rowOff>0</xdr:rowOff>
    </xdr:from>
    <xdr:to>
      <xdr:col>2</xdr:col>
      <xdr:colOff>2104869</xdr:colOff>
      <xdr:row>3</xdr:row>
      <xdr:rowOff>16658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5765" y="0"/>
          <a:ext cx="1286839" cy="71142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800100</xdr:colOff>
          <xdr:row>24</xdr:row>
          <xdr:rowOff>182880</xdr:rowOff>
        </xdr:from>
        <xdr:to>
          <xdr:col>3</xdr:col>
          <xdr:colOff>1097280</xdr:colOff>
          <xdr:row>26</xdr:row>
          <xdr:rowOff>22860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D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342900</xdr:colOff>
          <xdr:row>24</xdr:row>
          <xdr:rowOff>182880</xdr:rowOff>
        </xdr:from>
        <xdr:to>
          <xdr:col>3</xdr:col>
          <xdr:colOff>647700</xdr:colOff>
          <xdr:row>26</xdr:row>
          <xdr:rowOff>22860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D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0</xdr:col>
          <xdr:colOff>304800</xdr:colOff>
          <xdr:row>23</xdr:row>
          <xdr:rowOff>38100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D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182880</xdr:rowOff>
        </xdr:from>
        <xdr:to>
          <xdr:col>0</xdr:col>
          <xdr:colOff>304800</xdr:colOff>
          <xdr:row>26</xdr:row>
          <xdr:rowOff>213360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D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175260</xdr:rowOff>
        </xdr:from>
        <xdr:to>
          <xdr:col>0</xdr:col>
          <xdr:colOff>304800</xdr:colOff>
          <xdr:row>26</xdr:row>
          <xdr:rowOff>22860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D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182880</xdr:rowOff>
        </xdr:from>
        <xdr:to>
          <xdr:col>0</xdr:col>
          <xdr:colOff>304800</xdr:colOff>
          <xdr:row>25</xdr:row>
          <xdr:rowOff>30480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D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28489</xdr:colOff>
      <xdr:row>0</xdr:row>
      <xdr:rowOff>0</xdr:rowOff>
    </xdr:from>
    <xdr:to>
      <xdr:col>3</xdr:col>
      <xdr:colOff>1616314</xdr:colOff>
      <xdr:row>4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0039" y="0"/>
          <a:ext cx="1587825" cy="8763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297180</xdr:colOff>
          <xdr:row>24</xdr:row>
          <xdr:rowOff>38100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D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823940</xdr:colOff>
      <xdr:row>0</xdr:row>
      <xdr:rowOff>0</xdr:rowOff>
    </xdr:from>
    <xdr:to>
      <xdr:col>6</xdr:col>
      <xdr:colOff>0</xdr:colOff>
      <xdr:row>0</xdr:row>
      <xdr:rowOff>609653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0165" y="0"/>
          <a:ext cx="1100110" cy="609653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ersonaltabelle" connectionId="1" xr16:uid="{00000000-0016-0000-0000-000000000000}" autoFormatId="16" applyNumberFormats="0" applyBorderFormats="0" applyFontFormats="0" applyPatternFormats="0" applyAlignmentFormats="0" applyWidthHeightFormats="0">
  <queryTableRefresh nextId="41">
    <queryTableFields count="20">
      <queryTableField id="21" name="KZ" tableColumnId="21"/>
      <queryTableField id="22" name="Vorname Name Kombi" tableColumnId="22"/>
      <queryTableField id="23" name="Vorname" tableColumnId="23"/>
      <queryTableField id="24" name="Nachname" tableColumnId="24"/>
      <queryTableField id="25" name="AHV Nummer" tableColumnId="25"/>
      <queryTableField id="26" name="Geburtsdatum" tableColumnId="26"/>
      <queryTableField id="27" name="JS Nummer" tableColumnId="27"/>
      <queryTableField id="28" name="Funktion" tableColumnId="28"/>
      <queryTableField id="29" name="Camp_Lager" tableColumnId="29"/>
      <queryTableField id="30" name="Sportgerät" tableColumnId="30"/>
      <queryTableField id="31" name="Mobil" tableColumnId="31"/>
      <queryTableField id="32" name="Adresse Privat komplett" tableColumnId="32"/>
      <queryTableField id="33" name="E_Mail Privat" tableColumnId="33"/>
      <queryTableField id="34" name="E_Mail Büro" tableColumnId="34"/>
      <queryTableField id="35" name="Bankkonto IBAN" tableColumnId="35"/>
      <queryTableField id="36" name="Briefanrede" tableColumnId="36"/>
      <queryTableField id="37" name="Eintrittsdatum" tableColumnId="37"/>
      <queryTableField id="38" name="Erfassungsdatum" tableColumnId="38"/>
      <queryTableField id="39" name="Versa::Datum der Unterzeichnung" tableColumnId="39"/>
      <queryTableField id="40" name="Foto ja_nein" tableColumnId="4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T312" tableType="queryTable" totalsRowShown="0">
  <autoFilter ref="A1:T312" xr:uid="{00000000-0009-0000-0100-000001000000}"/>
  <tableColumns count="20">
    <tableColumn id="21" xr3:uid="{00000000-0010-0000-0000-000015000000}" uniqueName="21" name="KZ" queryTableFieldId="21"/>
    <tableColumn id="22" xr3:uid="{00000000-0010-0000-0000-000016000000}" uniqueName="22" name="Vorname Name Kombi" queryTableFieldId="22"/>
    <tableColumn id="23" xr3:uid="{00000000-0010-0000-0000-000017000000}" uniqueName="23" name="Vorname" queryTableFieldId="23"/>
    <tableColumn id="24" xr3:uid="{00000000-0010-0000-0000-000018000000}" uniqueName="24" name="Nachname" queryTableFieldId="24"/>
    <tableColumn id="25" xr3:uid="{00000000-0010-0000-0000-000019000000}" uniqueName="25" name="AHV Nummer" queryTableFieldId="25"/>
    <tableColumn id="26" xr3:uid="{00000000-0010-0000-0000-00001A000000}" uniqueName="26" name="Geburtsdatum" queryTableFieldId="26" dataDxfId="95"/>
    <tableColumn id="27" xr3:uid="{00000000-0010-0000-0000-00001B000000}" uniqueName="27" name="JS Nummer" queryTableFieldId="27"/>
    <tableColumn id="28" xr3:uid="{00000000-0010-0000-0000-00001C000000}" uniqueName="28" name="Funktion" queryTableFieldId="28"/>
    <tableColumn id="29" xr3:uid="{00000000-0010-0000-0000-00001D000000}" uniqueName="29" name="Camp_Lager" queryTableFieldId="29"/>
    <tableColumn id="30" xr3:uid="{00000000-0010-0000-0000-00001E000000}" uniqueName="30" name="Sportgerät" queryTableFieldId="30"/>
    <tableColumn id="31" xr3:uid="{00000000-0010-0000-0000-00001F000000}" uniqueName="31" name="Mobil" queryTableFieldId="31"/>
    <tableColumn id="32" xr3:uid="{00000000-0010-0000-0000-000020000000}" uniqueName="32" name="Adresse Privat komplett" queryTableFieldId="32"/>
    <tableColumn id="33" xr3:uid="{00000000-0010-0000-0000-000021000000}" uniqueName="33" name="E_Mail Privat" queryTableFieldId="33"/>
    <tableColumn id="34" xr3:uid="{00000000-0010-0000-0000-000022000000}" uniqueName="34" name="E_Mail Büro" queryTableFieldId="34"/>
    <tableColumn id="35" xr3:uid="{00000000-0010-0000-0000-000023000000}" uniqueName="35" name="Bankkonto IBAN" queryTableFieldId="35"/>
    <tableColumn id="36" xr3:uid="{00000000-0010-0000-0000-000024000000}" uniqueName="36" name="Briefanrede" queryTableFieldId="36"/>
    <tableColumn id="37" xr3:uid="{00000000-0010-0000-0000-000025000000}" uniqueName="37" name="Eintrittsdatum" queryTableFieldId="37" dataDxfId="94"/>
    <tableColumn id="38" xr3:uid="{00000000-0010-0000-0000-000026000000}" uniqueName="38" name="Erfassungsdatum" queryTableFieldId="38" dataDxfId="93"/>
    <tableColumn id="39" xr3:uid="{00000000-0010-0000-0000-000027000000}" uniqueName="39" name="Versa::Datum der Unterzeichnung" queryTableFieldId="39" dataDxfId="92"/>
    <tableColumn id="40" xr3:uid="{00000000-0010-0000-0000-000028000000}" uniqueName="40" name="Foto ja_nein" queryTableFieldId="4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schneezueri.ch/leiter_innen/Formulare/Versa_Merkblatt_Trainer.pdf" TargetMode="External"/><Relationship Id="rId4" Type="http://schemas.openxmlformats.org/officeDocument/2006/relationships/vmlDrawing" Target="../drawings/vmlDrawing4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ach@schneezueri.ch" TargetMode="Externa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chneezueri.ch/leiter_innen/Formulare/Wochenplan%2020xx.xls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T312"/>
  <sheetViews>
    <sheetView topLeftCell="A2" workbookViewId="0">
      <selection activeCell="A2" sqref="A2:T312"/>
    </sheetView>
  </sheetViews>
  <sheetFormatPr baseColWidth="10" defaultRowHeight="13.2" x14ac:dyDescent="0.25"/>
  <cols>
    <col min="1" max="1" width="8.6640625" bestFit="1" customWidth="1"/>
    <col min="2" max="2" width="24.109375" bestFit="1" customWidth="1"/>
    <col min="3" max="4" width="16.33203125" bestFit="1" customWidth="1"/>
    <col min="5" max="5" width="15.6640625" bestFit="1" customWidth="1"/>
    <col min="6" max="6" width="16" bestFit="1" customWidth="1"/>
    <col min="7" max="7" width="13.88671875" bestFit="1" customWidth="1"/>
    <col min="8" max="8" width="23.109375" bestFit="1" customWidth="1"/>
    <col min="9" max="9" width="49.5546875" bestFit="1" customWidth="1"/>
    <col min="10" max="10" width="13.5546875" bestFit="1" customWidth="1"/>
    <col min="11" max="11" width="16.5546875" bestFit="1" customWidth="1"/>
    <col min="12" max="12" width="41" bestFit="1" customWidth="1"/>
    <col min="13" max="13" width="35.33203125" bestFit="1" customWidth="1"/>
    <col min="14" max="14" width="35.109375" bestFit="1" customWidth="1"/>
    <col min="15" max="15" width="28.44140625" bestFit="1" customWidth="1"/>
    <col min="16" max="16" width="29.44140625" bestFit="1" customWidth="1"/>
    <col min="17" max="17" width="15.6640625" bestFit="1" customWidth="1"/>
    <col min="18" max="18" width="18.6640625" bestFit="1" customWidth="1"/>
    <col min="19" max="19" width="34.44140625" bestFit="1" customWidth="1"/>
    <col min="20" max="20" width="20" bestFit="1" customWidth="1"/>
    <col min="21" max="21" width="8.6640625" bestFit="1" customWidth="1"/>
    <col min="22" max="22" width="24" bestFit="1" customWidth="1"/>
    <col min="23" max="24" width="16.33203125" bestFit="1" customWidth="1"/>
    <col min="25" max="25" width="15.6640625" bestFit="1" customWidth="1"/>
    <col min="26" max="26" width="8.109375" bestFit="1" customWidth="1"/>
    <col min="27" max="27" width="10.6640625" bestFit="1" customWidth="1"/>
    <col min="28" max="28" width="23.109375" bestFit="1" customWidth="1"/>
    <col min="29" max="29" width="49.5546875" bestFit="1" customWidth="1"/>
    <col min="30" max="30" width="13.5546875" bestFit="1" customWidth="1"/>
    <col min="31" max="31" width="16.5546875" bestFit="1" customWidth="1"/>
    <col min="32" max="32" width="41" bestFit="1" customWidth="1"/>
    <col min="33" max="33" width="35.33203125" bestFit="1" customWidth="1"/>
    <col min="34" max="34" width="35.109375" bestFit="1" customWidth="1"/>
    <col min="35" max="35" width="28.44140625" bestFit="1" customWidth="1"/>
    <col min="36" max="36" width="29.44140625" bestFit="1" customWidth="1"/>
    <col min="37" max="39" width="8.109375" bestFit="1" customWidth="1"/>
    <col min="40" max="40" width="20" bestFit="1" customWidth="1"/>
  </cols>
  <sheetData>
    <row r="1" spans="1:20" x14ac:dyDescent="0.25">
      <c r="A1" t="s">
        <v>445</v>
      </c>
      <c r="B1" t="s">
        <v>446</v>
      </c>
      <c r="C1" t="s">
        <v>126</v>
      </c>
      <c r="D1" t="s">
        <v>447</v>
      </c>
      <c r="E1" t="s">
        <v>448</v>
      </c>
      <c r="F1" t="s">
        <v>3151</v>
      </c>
      <c r="G1" t="s">
        <v>449</v>
      </c>
      <c r="H1" t="s">
        <v>208</v>
      </c>
      <c r="I1" t="s">
        <v>450</v>
      </c>
      <c r="J1" t="s">
        <v>451</v>
      </c>
      <c r="K1" t="s">
        <v>452</v>
      </c>
      <c r="L1" t="s">
        <v>453</v>
      </c>
      <c r="M1" t="s">
        <v>454</v>
      </c>
      <c r="N1" t="s">
        <v>455</v>
      </c>
      <c r="O1" t="s">
        <v>456</v>
      </c>
      <c r="P1" t="s">
        <v>457</v>
      </c>
      <c r="Q1" t="s">
        <v>3152</v>
      </c>
      <c r="R1" t="s">
        <v>3153</v>
      </c>
      <c r="S1" t="s">
        <v>3154</v>
      </c>
      <c r="T1" t="s">
        <v>458</v>
      </c>
    </row>
    <row r="2" spans="1:20" x14ac:dyDescent="0.25">
      <c r="A2" t="s">
        <v>459</v>
      </c>
      <c r="B2" t="s">
        <v>460</v>
      </c>
      <c r="C2" t="s">
        <v>461</v>
      </c>
      <c r="D2" t="s">
        <v>462</v>
      </c>
      <c r="F2" s="461">
        <v>31002</v>
      </c>
      <c r="H2" t="s">
        <v>463</v>
      </c>
      <c r="I2" t="s">
        <v>464</v>
      </c>
      <c r="J2" t="s">
        <v>465</v>
      </c>
      <c r="K2" t="s">
        <v>466</v>
      </c>
      <c r="L2" t="s">
        <v>467</v>
      </c>
      <c r="M2" t="s">
        <v>468</v>
      </c>
      <c r="O2" t="s">
        <v>469</v>
      </c>
      <c r="P2" t="s">
        <v>470</v>
      </c>
      <c r="Q2" s="461">
        <v>44935</v>
      </c>
      <c r="R2" s="461">
        <v>44935</v>
      </c>
      <c r="S2" s="461">
        <v>44935</v>
      </c>
      <c r="T2" t="s">
        <v>471</v>
      </c>
    </row>
    <row r="3" spans="1:20" x14ac:dyDescent="0.25">
      <c r="A3" t="s">
        <v>472</v>
      </c>
      <c r="B3" t="s">
        <v>473</v>
      </c>
      <c r="C3" t="s">
        <v>474</v>
      </c>
      <c r="D3" t="s">
        <v>475</v>
      </c>
      <c r="F3" s="461">
        <v>33403</v>
      </c>
      <c r="G3">
        <v>1889711</v>
      </c>
      <c r="H3" t="s">
        <v>476</v>
      </c>
      <c r="I3" t="s">
        <v>477</v>
      </c>
      <c r="J3" t="s">
        <v>465</v>
      </c>
      <c r="K3" t="s">
        <v>478</v>
      </c>
      <c r="L3" t="s">
        <v>479</v>
      </c>
      <c r="M3" t="s">
        <v>480</v>
      </c>
      <c r="O3" t="s">
        <v>481</v>
      </c>
      <c r="P3" t="s">
        <v>482</v>
      </c>
      <c r="Q3" s="461">
        <v>42380</v>
      </c>
      <c r="R3" s="461">
        <v>43034</v>
      </c>
      <c r="S3" s="461">
        <v>43486</v>
      </c>
      <c r="T3" t="s">
        <v>483</v>
      </c>
    </row>
    <row r="4" spans="1:20" x14ac:dyDescent="0.25">
      <c r="A4" t="s">
        <v>484</v>
      </c>
      <c r="B4" t="s">
        <v>485</v>
      </c>
      <c r="C4" t="s">
        <v>486</v>
      </c>
      <c r="D4" t="s">
        <v>487</v>
      </c>
      <c r="F4" s="461"/>
      <c r="H4" t="s">
        <v>476</v>
      </c>
      <c r="I4" t="s">
        <v>488</v>
      </c>
      <c r="K4" t="s">
        <v>489</v>
      </c>
      <c r="M4" t="s">
        <v>490</v>
      </c>
      <c r="P4" t="s">
        <v>491</v>
      </c>
      <c r="Q4" s="461">
        <v>41897</v>
      </c>
      <c r="R4" s="461">
        <v>41897</v>
      </c>
      <c r="S4" s="461"/>
      <c r="T4" t="s">
        <v>471</v>
      </c>
    </row>
    <row r="5" spans="1:20" x14ac:dyDescent="0.25">
      <c r="A5" t="s">
        <v>492</v>
      </c>
      <c r="B5" t="s">
        <v>493</v>
      </c>
      <c r="C5" t="s">
        <v>494</v>
      </c>
      <c r="D5" t="s">
        <v>495</v>
      </c>
      <c r="F5" s="461">
        <v>33697</v>
      </c>
      <c r="H5" t="s">
        <v>463</v>
      </c>
      <c r="I5" t="s">
        <v>496</v>
      </c>
      <c r="J5" t="s">
        <v>497</v>
      </c>
      <c r="K5" t="s">
        <v>498</v>
      </c>
      <c r="L5" t="s">
        <v>499</v>
      </c>
      <c r="M5" t="s">
        <v>500</v>
      </c>
      <c r="O5" t="s">
        <v>501</v>
      </c>
      <c r="P5" t="s">
        <v>502</v>
      </c>
      <c r="Q5" s="461">
        <v>44935</v>
      </c>
      <c r="R5" s="461">
        <v>44935</v>
      </c>
      <c r="S5" s="461">
        <v>44935</v>
      </c>
      <c r="T5" t="s">
        <v>471</v>
      </c>
    </row>
    <row r="6" spans="1:20" x14ac:dyDescent="0.25">
      <c r="A6" t="s">
        <v>503</v>
      </c>
      <c r="B6" t="s">
        <v>504</v>
      </c>
      <c r="C6" t="s">
        <v>505</v>
      </c>
      <c r="D6" t="s">
        <v>506</v>
      </c>
      <c r="F6" s="461">
        <v>36605</v>
      </c>
      <c r="J6" t="s">
        <v>465</v>
      </c>
      <c r="K6" t="s">
        <v>507</v>
      </c>
      <c r="L6" t="s">
        <v>508</v>
      </c>
      <c r="M6" t="s">
        <v>509</v>
      </c>
      <c r="O6" t="s">
        <v>510</v>
      </c>
      <c r="P6" t="s">
        <v>511</v>
      </c>
      <c r="Q6" s="461">
        <v>44179</v>
      </c>
      <c r="R6" s="461">
        <v>44179</v>
      </c>
      <c r="S6" s="461">
        <v>44178</v>
      </c>
      <c r="T6" t="s">
        <v>471</v>
      </c>
    </row>
    <row r="7" spans="1:20" x14ac:dyDescent="0.25">
      <c r="A7" t="s">
        <v>512</v>
      </c>
      <c r="B7" t="s">
        <v>513</v>
      </c>
      <c r="C7" t="s">
        <v>514</v>
      </c>
      <c r="D7" t="s">
        <v>515</v>
      </c>
      <c r="F7" s="461">
        <v>32100</v>
      </c>
      <c r="H7" t="s">
        <v>463</v>
      </c>
      <c r="I7" t="s">
        <v>516</v>
      </c>
      <c r="J7" t="s">
        <v>497</v>
      </c>
      <c r="K7" t="s">
        <v>517</v>
      </c>
      <c r="L7" t="s">
        <v>518</v>
      </c>
      <c r="M7" t="s">
        <v>519</v>
      </c>
      <c r="O7" t="s">
        <v>520</v>
      </c>
      <c r="P7" t="s">
        <v>521</v>
      </c>
      <c r="Q7" s="461">
        <v>44612</v>
      </c>
      <c r="R7" s="461">
        <v>44612</v>
      </c>
      <c r="S7" s="461">
        <v>44603</v>
      </c>
      <c r="T7" t="s">
        <v>471</v>
      </c>
    </row>
    <row r="8" spans="1:20" x14ac:dyDescent="0.25">
      <c r="A8" t="s">
        <v>522</v>
      </c>
      <c r="B8" t="s">
        <v>523</v>
      </c>
      <c r="C8" t="s">
        <v>524</v>
      </c>
      <c r="D8" t="s">
        <v>525</v>
      </c>
      <c r="E8" t="s">
        <v>526</v>
      </c>
      <c r="F8" s="461">
        <v>34676</v>
      </c>
      <c r="H8" t="s">
        <v>527</v>
      </c>
      <c r="I8" t="s">
        <v>528</v>
      </c>
      <c r="J8" t="s">
        <v>529</v>
      </c>
      <c r="K8" t="s">
        <v>530</v>
      </c>
      <c r="L8" t="s">
        <v>531</v>
      </c>
      <c r="M8" t="s">
        <v>532</v>
      </c>
      <c r="N8" t="s">
        <v>533</v>
      </c>
      <c r="O8" t="s">
        <v>534</v>
      </c>
      <c r="P8" t="s">
        <v>535</v>
      </c>
      <c r="Q8" s="461">
        <v>43852</v>
      </c>
      <c r="R8" s="461">
        <v>43852</v>
      </c>
      <c r="S8" s="461">
        <v>43852</v>
      </c>
      <c r="T8" t="s">
        <v>471</v>
      </c>
    </row>
    <row r="9" spans="1:20" x14ac:dyDescent="0.25">
      <c r="A9" t="s">
        <v>536</v>
      </c>
      <c r="B9" t="s">
        <v>537</v>
      </c>
      <c r="C9" t="s">
        <v>538</v>
      </c>
      <c r="D9" t="s">
        <v>539</v>
      </c>
      <c r="F9" s="461"/>
      <c r="H9" t="s">
        <v>463</v>
      </c>
      <c r="I9" t="s">
        <v>540</v>
      </c>
      <c r="J9" t="s">
        <v>541</v>
      </c>
      <c r="K9" t="s">
        <v>542</v>
      </c>
      <c r="L9" t="s">
        <v>543</v>
      </c>
      <c r="M9" t="s">
        <v>544</v>
      </c>
      <c r="O9" t="s">
        <v>545</v>
      </c>
      <c r="P9" t="s">
        <v>546</v>
      </c>
      <c r="Q9" s="461">
        <v>44612</v>
      </c>
      <c r="R9" s="461">
        <v>44612</v>
      </c>
      <c r="S9" s="461">
        <v>44603</v>
      </c>
      <c r="T9" t="s">
        <v>483</v>
      </c>
    </row>
    <row r="10" spans="1:20" x14ac:dyDescent="0.25">
      <c r="A10" t="s">
        <v>547</v>
      </c>
      <c r="B10" t="s">
        <v>548</v>
      </c>
      <c r="C10" t="s">
        <v>549</v>
      </c>
      <c r="D10" t="s">
        <v>550</v>
      </c>
      <c r="F10" s="461">
        <v>36304</v>
      </c>
      <c r="G10">
        <v>1353777</v>
      </c>
      <c r="H10" t="s">
        <v>463</v>
      </c>
      <c r="I10" t="s">
        <v>551</v>
      </c>
      <c r="J10" t="s">
        <v>541</v>
      </c>
      <c r="K10" t="s">
        <v>552</v>
      </c>
      <c r="L10" t="s">
        <v>553</v>
      </c>
      <c r="M10" t="s">
        <v>554</v>
      </c>
      <c r="O10" t="s">
        <v>555</v>
      </c>
      <c r="P10" t="s">
        <v>556</v>
      </c>
      <c r="Q10" s="461">
        <v>43898</v>
      </c>
      <c r="R10" s="461">
        <v>43898</v>
      </c>
      <c r="S10" s="461">
        <v>43895</v>
      </c>
      <c r="T10" t="s">
        <v>483</v>
      </c>
    </row>
    <row r="11" spans="1:20" x14ac:dyDescent="0.25">
      <c r="A11" t="s">
        <v>557</v>
      </c>
      <c r="B11" t="s">
        <v>558</v>
      </c>
      <c r="C11" t="s">
        <v>559</v>
      </c>
      <c r="D11" t="s">
        <v>560</v>
      </c>
      <c r="F11" s="461">
        <v>37279</v>
      </c>
      <c r="H11" t="s">
        <v>476</v>
      </c>
      <c r="J11" t="s">
        <v>529</v>
      </c>
      <c r="K11" t="s">
        <v>561</v>
      </c>
      <c r="L11" t="s">
        <v>562</v>
      </c>
      <c r="M11" t="s">
        <v>563</v>
      </c>
      <c r="O11" t="s">
        <v>564</v>
      </c>
      <c r="P11" t="s">
        <v>565</v>
      </c>
      <c r="Q11" s="461">
        <v>44578</v>
      </c>
      <c r="R11" s="461">
        <v>44578</v>
      </c>
      <c r="S11" s="461">
        <v>44578</v>
      </c>
      <c r="T11" t="s">
        <v>483</v>
      </c>
    </row>
    <row r="12" spans="1:20" x14ac:dyDescent="0.25">
      <c r="A12" t="s">
        <v>566</v>
      </c>
      <c r="B12" t="s">
        <v>567</v>
      </c>
      <c r="C12" t="s">
        <v>568</v>
      </c>
      <c r="D12" t="s">
        <v>569</v>
      </c>
      <c r="F12" s="461">
        <v>35805</v>
      </c>
      <c r="G12">
        <v>752319</v>
      </c>
      <c r="H12" t="s">
        <v>476</v>
      </c>
      <c r="J12" t="s">
        <v>465</v>
      </c>
      <c r="K12" t="s">
        <v>570</v>
      </c>
      <c r="L12" t="s">
        <v>571</v>
      </c>
      <c r="M12" t="s">
        <v>572</v>
      </c>
      <c r="O12" t="s">
        <v>573</v>
      </c>
      <c r="P12" t="s">
        <v>574</v>
      </c>
      <c r="Q12" s="461">
        <v>44368</v>
      </c>
      <c r="R12" s="461">
        <v>44368</v>
      </c>
      <c r="S12" s="461">
        <v>44368</v>
      </c>
      <c r="T12" t="s">
        <v>483</v>
      </c>
    </row>
    <row r="13" spans="1:20" x14ac:dyDescent="0.25">
      <c r="A13" t="s">
        <v>575</v>
      </c>
      <c r="B13" t="s">
        <v>576</v>
      </c>
      <c r="C13" t="s">
        <v>577</v>
      </c>
      <c r="D13" t="s">
        <v>578</v>
      </c>
      <c r="F13" s="461">
        <v>37260</v>
      </c>
      <c r="J13" t="s">
        <v>541</v>
      </c>
      <c r="K13" t="s">
        <v>579</v>
      </c>
      <c r="L13" t="s">
        <v>580</v>
      </c>
      <c r="M13" t="s">
        <v>581</v>
      </c>
      <c r="O13" t="s">
        <v>582</v>
      </c>
      <c r="P13" t="s">
        <v>583</v>
      </c>
      <c r="Q13" s="461">
        <v>44088</v>
      </c>
      <c r="R13" s="461">
        <v>44088</v>
      </c>
      <c r="S13" s="461">
        <v>44087</v>
      </c>
      <c r="T13" t="s">
        <v>471</v>
      </c>
    </row>
    <row r="14" spans="1:20" x14ac:dyDescent="0.25">
      <c r="A14" t="s">
        <v>584</v>
      </c>
      <c r="B14" t="s">
        <v>585</v>
      </c>
      <c r="C14" t="s">
        <v>586</v>
      </c>
      <c r="D14" t="s">
        <v>587</v>
      </c>
      <c r="F14" s="461">
        <v>28844</v>
      </c>
      <c r="G14">
        <v>1450622</v>
      </c>
      <c r="H14" t="s">
        <v>476</v>
      </c>
      <c r="J14" t="s">
        <v>497</v>
      </c>
      <c r="K14" t="s">
        <v>588</v>
      </c>
      <c r="L14" t="s">
        <v>589</v>
      </c>
      <c r="M14" t="s">
        <v>590</v>
      </c>
      <c r="O14" t="s">
        <v>591</v>
      </c>
      <c r="P14" t="s">
        <v>592</v>
      </c>
      <c r="Q14" s="461">
        <v>42314</v>
      </c>
      <c r="R14" s="461">
        <v>42327</v>
      </c>
      <c r="S14" s="461">
        <v>42311</v>
      </c>
      <c r="T14" t="s">
        <v>471</v>
      </c>
    </row>
    <row r="15" spans="1:20" x14ac:dyDescent="0.25">
      <c r="A15" t="s">
        <v>593</v>
      </c>
      <c r="B15" t="s">
        <v>594</v>
      </c>
      <c r="C15" t="s">
        <v>595</v>
      </c>
      <c r="D15" t="s">
        <v>550</v>
      </c>
      <c r="F15" s="461">
        <v>34112</v>
      </c>
      <c r="G15">
        <v>1570078</v>
      </c>
      <c r="H15" t="s">
        <v>476</v>
      </c>
      <c r="J15" t="s">
        <v>541</v>
      </c>
      <c r="K15" t="s">
        <v>596</v>
      </c>
      <c r="L15" t="s">
        <v>597</v>
      </c>
      <c r="M15" t="s">
        <v>598</v>
      </c>
      <c r="O15" t="s">
        <v>599</v>
      </c>
      <c r="P15" t="s">
        <v>600</v>
      </c>
      <c r="Q15" s="461">
        <v>43199</v>
      </c>
      <c r="R15" s="461">
        <v>43199</v>
      </c>
      <c r="S15" s="461"/>
      <c r="T15" t="s">
        <v>483</v>
      </c>
    </row>
    <row r="16" spans="1:20" x14ac:dyDescent="0.25">
      <c r="A16" t="s">
        <v>601</v>
      </c>
      <c r="B16" t="s">
        <v>602</v>
      </c>
      <c r="C16" t="s">
        <v>603</v>
      </c>
      <c r="D16" t="s">
        <v>604</v>
      </c>
      <c r="F16" s="461">
        <v>33656</v>
      </c>
      <c r="H16" t="s">
        <v>463</v>
      </c>
      <c r="I16" t="s">
        <v>496</v>
      </c>
      <c r="J16" t="s">
        <v>465</v>
      </c>
      <c r="K16" t="s">
        <v>605</v>
      </c>
      <c r="L16" t="s">
        <v>606</v>
      </c>
      <c r="M16" t="s">
        <v>607</v>
      </c>
      <c r="O16" t="s">
        <v>608</v>
      </c>
      <c r="P16" t="s">
        <v>609</v>
      </c>
      <c r="Q16" s="461">
        <v>44934</v>
      </c>
      <c r="R16" s="461">
        <v>44934</v>
      </c>
      <c r="S16" s="461">
        <v>44925</v>
      </c>
      <c r="T16" t="s">
        <v>471</v>
      </c>
    </row>
    <row r="17" spans="1:20" x14ac:dyDescent="0.25">
      <c r="A17" t="s">
        <v>610</v>
      </c>
      <c r="B17" t="s">
        <v>611</v>
      </c>
      <c r="C17" t="s">
        <v>612</v>
      </c>
      <c r="D17" t="s">
        <v>613</v>
      </c>
      <c r="F17" s="461">
        <v>34848</v>
      </c>
      <c r="G17">
        <v>1226959</v>
      </c>
      <c r="H17" t="s">
        <v>463</v>
      </c>
      <c r="I17" t="s">
        <v>551</v>
      </c>
      <c r="J17" t="s">
        <v>541</v>
      </c>
      <c r="K17" t="s">
        <v>614</v>
      </c>
      <c r="L17" t="s">
        <v>615</v>
      </c>
      <c r="M17" t="s">
        <v>616</v>
      </c>
      <c r="O17" t="s">
        <v>617</v>
      </c>
      <c r="P17" t="s">
        <v>618</v>
      </c>
      <c r="Q17" s="461">
        <v>43898</v>
      </c>
      <c r="R17" s="461">
        <v>43898</v>
      </c>
      <c r="S17" s="461">
        <v>43895</v>
      </c>
      <c r="T17" t="s">
        <v>483</v>
      </c>
    </row>
    <row r="18" spans="1:20" x14ac:dyDescent="0.25">
      <c r="A18" t="s">
        <v>619</v>
      </c>
      <c r="B18" t="s">
        <v>620</v>
      </c>
      <c r="C18" t="s">
        <v>621</v>
      </c>
      <c r="D18" t="s">
        <v>622</v>
      </c>
      <c r="F18" s="461">
        <v>36292</v>
      </c>
      <c r="H18" t="s">
        <v>476</v>
      </c>
      <c r="J18" t="s">
        <v>541</v>
      </c>
      <c r="L18" t="s">
        <v>623</v>
      </c>
      <c r="M18" t="s">
        <v>624</v>
      </c>
      <c r="O18" t="s">
        <v>625</v>
      </c>
      <c r="P18" t="s">
        <v>626</v>
      </c>
      <c r="Q18" s="461">
        <v>44111</v>
      </c>
      <c r="R18" s="461">
        <v>44111</v>
      </c>
      <c r="S18" s="461">
        <v>44111</v>
      </c>
      <c r="T18" t="s">
        <v>471</v>
      </c>
    </row>
    <row r="19" spans="1:20" x14ac:dyDescent="0.25">
      <c r="A19" t="s">
        <v>627</v>
      </c>
      <c r="B19" t="s">
        <v>628</v>
      </c>
      <c r="C19" t="s">
        <v>629</v>
      </c>
      <c r="D19" t="s">
        <v>630</v>
      </c>
      <c r="F19" s="461">
        <v>35952</v>
      </c>
      <c r="H19" t="s">
        <v>527</v>
      </c>
      <c r="I19" t="s">
        <v>631</v>
      </c>
      <c r="J19" t="s">
        <v>465</v>
      </c>
      <c r="K19" t="s">
        <v>632</v>
      </c>
      <c r="L19" t="s">
        <v>633</v>
      </c>
      <c r="M19" t="s">
        <v>634</v>
      </c>
      <c r="O19" t="s">
        <v>635</v>
      </c>
      <c r="P19" t="s">
        <v>636</v>
      </c>
      <c r="Q19" s="461">
        <v>44917</v>
      </c>
      <c r="R19" s="461">
        <v>44917</v>
      </c>
      <c r="S19" s="461">
        <v>44914</v>
      </c>
      <c r="T19" t="s">
        <v>471</v>
      </c>
    </row>
    <row r="20" spans="1:20" x14ac:dyDescent="0.25">
      <c r="A20" t="s">
        <v>637</v>
      </c>
      <c r="B20" t="s">
        <v>638</v>
      </c>
      <c r="C20" t="s">
        <v>639</v>
      </c>
      <c r="D20" t="s">
        <v>640</v>
      </c>
      <c r="F20" s="461">
        <v>35292</v>
      </c>
      <c r="G20">
        <v>1134829</v>
      </c>
      <c r="H20" t="s">
        <v>463</v>
      </c>
      <c r="I20" t="s">
        <v>641</v>
      </c>
      <c r="J20" t="s">
        <v>541</v>
      </c>
      <c r="K20" t="s">
        <v>642</v>
      </c>
      <c r="L20" t="s">
        <v>643</v>
      </c>
      <c r="M20" t="s">
        <v>644</v>
      </c>
      <c r="O20" t="s">
        <v>645</v>
      </c>
      <c r="P20" t="s">
        <v>646</v>
      </c>
      <c r="Q20" s="461">
        <v>43864</v>
      </c>
      <c r="R20" s="461">
        <v>43864</v>
      </c>
      <c r="S20" s="461">
        <v>43863</v>
      </c>
      <c r="T20" t="s">
        <v>483</v>
      </c>
    </row>
    <row r="21" spans="1:20" x14ac:dyDescent="0.25">
      <c r="A21" t="s">
        <v>647</v>
      </c>
      <c r="B21" t="s">
        <v>648</v>
      </c>
      <c r="C21" t="s">
        <v>639</v>
      </c>
      <c r="D21" t="s">
        <v>649</v>
      </c>
      <c r="F21" s="461">
        <v>34502</v>
      </c>
      <c r="G21">
        <v>694765</v>
      </c>
      <c r="H21" t="s">
        <v>476</v>
      </c>
      <c r="J21" t="s">
        <v>529</v>
      </c>
      <c r="K21" t="s">
        <v>650</v>
      </c>
      <c r="L21" t="s">
        <v>651</v>
      </c>
      <c r="M21" t="s">
        <v>652</v>
      </c>
      <c r="O21" t="s">
        <v>653</v>
      </c>
      <c r="P21" t="s">
        <v>646</v>
      </c>
      <c r="Q21" s="461">
        <v>43071</v>
      </c>
      <c r="R21" s="461">
        <v>43071</v>
      </c>
      <c r="S21" s="461"/>
      <c r="T21" t="s">
        <v>471</v>
      </c>
    </row>
    <row r="22" spans="1:20" x14ac:dyDescent="0.25">
      <c r="A22" t="s">
        <v>654</v>
      </c>
      <c r="B22" t="s">
        <v>655</v>
      </c>
      <c r="C22" t="s">
        <v>656</v>
      </c>
      <c r="D22" t="s">
        <v>657</v>
      </c>
      <c r="F22" s="461">
        <v>37162</v>
      </c>
      <c r="H22" t="s">
        <v>463</v>
      </c>
      <c r="I22" t="s">
        <v>540</v>
      </c>
      <c r="J22" t="s">
        <v>497</v>
      </c>
      <c r="K22" t="s">
        <v>658</v>
      </c>
      <c r="L22" t="s">
        <v>659</v>
      </c>
      <c r="M22" t="s">
        <v>660</v>
      </c>
      <c r="O22" t="s">
        <v>661</v>
      </c>
      <c r="P22" t="s">
        <v>662</v>
      </c>
      <c r="Q22" s="461">
        <v>44612</v>
      </c>
      <c r="R22" s="461">
        <v>44612</v>
      </c>
      <c r="S22" s="461">
        <v>44605</v>
      </c>
      <c r="T22" t="s">
        <v>471</v>
      </c>
    </row>
    <row r="23" spans="1:20" x14ac:dyDescent="0.25">
      <c r="A23" t="s">
        <v>663</v>
      </c>
      <c r="B23" t="s">
        <v>664</v>
      </c>
      <c r="C23" t="s">
        <v>665</v>
      </c>
      <c r="D23" t="s">
        <v>666</v>
      </c>
      <c r="F23" s="461">
        <v>34676</v>
      </c>
      <c r="H23" t="s">
        <v>476</v>
      </c>
      <c r="I23" t="s">
        <v>488</v>
      </c>
      <c r="K23" t="s">
        <v>667</v>
      </c>
      <c r="L23" t="s">
        <v>668</v>
      </c>
      <c r="M23" t="s">
        <v>669</v>
      </c>
      <c r="P23" t="s">
        <v>670</v>
      </c>
      <c r="Q23" s="461">
        <v>41954</v>
      </c>
      <c r="R23" s="461">
        <v>41954</v>
      </c>
      <c r="S23" s="461"/>
      <c r="T23" t="s">
        <v>471</v>
      </c>
    </row>
    <row r="24" spans="1:20" x14ac:dyDescent="0.25">
      <c r="A24" t="s">
        <v>443</v>
      </c>
      <c r="B24" t="s">
        <v>671</v>
      </c>
      <c r="C24" t="s">
        <v>672</v>
      </c>
      <c r="D24" t="s">
        <v>673</v>
      </c>
      <c r="E24" t="s">
        <v>674</v>
      </c>
      <c r="F24" s="461">
        <v>34421</v>
      </c>
      <c r="G24">
        <v>992355</v>
      </c>
      <c r="H24" t="s">
        <v>463</v>
      </c>
      <c r="I24" t="s">
        <v>675</v>
      </c>
      <c r="J24" t="s">
        <v>541</v>
      </c>
      <c r="K24" t="s">
        <v>676</v>
      </c>
      <c r="L24" t="s">
        <v>677</v>
      </c>
      <c r="M24" t="s">
        <v>678</v>
      </c>
      <c r="O24" t="s">
        <v>679</v>
      </c>
      <c r="P24" t="s">
        <v>680</v>
      </c>
      <c r="Q24" s="461">
        <v>44959</v>
      </c>
      <c r="R24" s="461">
        <v>44959</v>
      </c>
      <c r="S24" s="461">
        <v>44958</v>
      </c>
      <c r="T24" t="s">
        <v>483</v>
      </c>
    </row>
    <row r="25" spans="1:20" x14ac:dyDescent="0.25">
      <c r="A25" t="s">
        <v>681</v>
      </c>
      <c r="B25" t="s">
        <v>682</v>
      </c>
      <c r="C25" t="s">
        <v>683</v>
      </c>
      <c r="D25" t="s">
        <v>684</v>
      </c>
      <c r="F25" s="461">
        <v>33826</v>
      </c>
      <c r="H25" t="s">
        <v>463</v>
      </c>
      <c r="I25" t="s">
        <v>685</v>
      </c>
      <c r="J25" t="s">
        <v>541</v>
      </c>
      <c r="K25" t="s">
        <v>686</v>
      </c>
      <c r="L25" t="s">
        <v>687</v>
      </c>
      <c r="N25" t="s">
        <v>688</v>
      </c>
      <c r="O25" t="s">
        <v>689</v>
      </c>
      <c r="P25" t="s">
        <v>690</v>
      </c>
      <c r="Q25" s="461">
        <v>43146</v>
      </c>
      <c r="R25" s="461">
        <v>43146</v>
      </c>
      <c r="S25" s="461">
        <v>43146</v>
      </c>
      <c r="T25" t="s">
        <v>471</v>
      </c>
    </row>
    <row r="26" spans="1:20" x14ac:dyDescent="0.25">
      <c r="A26" t="s">
        <v>691</v>
      </c>
      <c r="B26" t="s">
        <v>692</v>
      </c>
      <c r="C26" t="s">
        <v>672</v>
      </c>
      <c r="D26" t="s">
        <v>693</v>
      </c>
      <c r="F26" s="461">
        <v>37312</v>
      </c>
      <c r="H26" t="s">
        <v>463</v>
      </c>
      <c r="I26" t="s">
        <v>694</v>
      </c>
      <c r="J26" t="s">
        <v>541</v>
      </c>
      <c r="K26" t="s">
        <v>695</v>
      </c>
      <c r="L26" t="s">
        <v>696</v>
      </c>
      <c r="M26" t="s">
        <v>697</v>
      </c>
      <c r="O26" t="s">
        <v>698</v>
      </c>
      <c r="P26" t="s">
        <v>680</v>
      </c>
      <c r="Q26" s="461">
        <v>44612</v>
      </c>
      <c r="R26" s="461">
        <v>44612</v>
      </c>
      <c r="S26" s="461">
        <v>44611</v>
      </c>
      <c r="T26" t="s">
        <v>471</v>
      </c>
    </row>
    <row r="27" spans="1:20" x14ac:dyDescent="0.25">
      <c r="A27" t="s">
        <v>699</v>
      </c>
      <c r="B27" t="s">
        <v>700</v>
      </c>
      <c r="C27" t="s">
        <v>701</v>
      </c>
      <c r="D27" t="s">
        <v>702</v>
      </c>
      <c r="F27" s="461">
        <v>25900</v>
      </c>
      <c r="G27">
        <v>377305</v>
      </c>
      <c r="H27" t="s">
        <v>527</v>
      </c>
      <c r="I27" t="s">
        <v>703</v>
      </c>
      <c r="J27" t="s">
        <v>465</v>
      </c>
      <c r="K27" t="s">
        <v>704</v>
      </c>
      <c r="L27" t="s">
        <v>705</v>
      </c>
      <c r="M27" t="s">
        <v>706</v>
      </c>
      <c r="O27" t="s">
        <v>707</v>
      </c>
      <c r="P27" t="s">
        <v>708</v>
      </c>
      <c r="Q27" s="461">
        <v>41640</v>
      </c>
      <c r="R27" s="461">
        <v>42028</v>
      </c>
      <c r="S27" s="461">
        <v>42027</v>
      </c>
      <c r="T27" t="s">
        <v>471</v>
      </c>
    </row>
    <row r="28" spans="1:20" x14ac:dyDescent="0.25">
      <c r="A28" t="s">
        <v>709</v>
      </c>
      <c r="B28" t="s">
        <v>710</v>
      </c>
      <c r="C28" t="s">
        <v>711</v>
      </c>
      <c r="D28" t="s">
        <v>712</v>
      </c>
      <c r="F28" s="461">
        <v>37209</v>
      </c>
      <c r="H28" t="s">
        <v>476</v>
      </c>
      <c r="J28" t="s">
        <v>465</v>
      </c>
      <c r="K28" t="s">
        <v>713</v>
      </c>
      <c r="L28" t="s">
        <v>714</v>
      </c>
      <c r="N28" t="s">
        <v>715</v>
      </c>
      <c r="O28" t="s">
        <v>716</v>
      </c>
      <c r="P28" t="s">
        <v>717</v>
      </c>
      <c r="Q28" s="461">
        <v>44518</v>
      </c>
      <c r="R28" s="461">
        <v>44518</v>
      </c>
      <c r="S28" s="461">
        <v>44517</v>
      </c>
      <c r="T28" t="s">
        <v>483</v>
      </c>
    </row>
    <row r="29" spans="1:20" x14ac:dyDescent="0.25">
      <c r="A29" t="s">
        <v>718</v>
      </c>
      <c r="B29" t="s">
        <v>719</v>
      </c>
      <c r="C29" t="s">
        <v>720</v>
      </c>
      <c r="D29" t="s">
        <v>702</v>
      </c>
      <c r="F29" s="461">
        <v>26500</v>
      </c>
      <c r="H29" t="s">
        <v>721</v>
      </c>
      <c r="I29" t="s">
        <v>703</v>
      </c>
      <c r="J29" t="s">
        <v>541</v>
      </c>
      <c r="K29" t="s">
        <v>722</v>
      </c>
      <c r="L29" t="s">
        <v>705</v>
      </c>
      <c r="M29" t="s">
        <v>723</v>
      </c>
      <c r="O29" t="s">
        <v>724</v>
      </c>
      <c r="P29" t="s">
        <v>725</v>
      </c>
      <c r="Q29" s="461">
        <v>42038</v>
      </c>
      <c r="R29" s="461">
        <v>42038</v>
      </c>
      <c r="S29" s="461">
        <v>42037</v>
      </c>
      <c r="T29" t="s">
        <v>471</v>
      </c>
    </row>
    <row r="30" spans="1:20" x14ac:dyDescent="0.25">
      <c r="A30" t="s">
        <v>726</v>
      </c>
      <c r="B30" t="s">
        <v>727</v>
      </c>
      <c r="C30" t="s">
        <v>720</v>
      </c>
      <c r="D30" t="s">
        <v>728</v>
      </c>
      <c r="F30" s="461">
        <v>24785</v>
      </c>
      <c r="H30" t="s">
        <v>729</v>
      </c>
      <c r="I30" t="s">
        <v>703</v>
      </c>
      <c r="J30" t="s">
        <v>497</v>
      </c>
      <c r="K30" t="s">
        <v>730</v>
      </c>
      <c r="L30" t="s">
        <v>731</v>
      </c>
      <c r="M30" t="s">
        <v>732</v>
      </c>
      <c r="O30" t="s">
        <v>733</v>
      </c>
      <c r="P30" t="s">
        <v>725</v>
      </c>
      <c r="Q30" s="461">
        <v>43843</v>
      </c>
      <c r="R30" s="461">
        <v>43843</v>
      </c>
      <c r="S30" s="461">
        <v>43840</v>
      </c>
      <c r="T30" t="s">
        <v>471</v>
      </c>
    </row>
    <row r="31" spans="1:20" x14ac:dyDescent="0.25">
      <c r="A31" t="s">
        <v>734</v>
      </c>
      <c r="B31" t="s">
        <v>735</v>
      </c>
      <c r="C31" t="s">
        <v>720</v>
      </c>
      <c r="D31" t="s">
        <v>736</v>
      </c>
      <c r="F31" s="461">
        <v>25373</v>
      </c>
      <c r="H31" t="s">
        <v>463</v>
      </c>
      <c r="I31" t="s">
        <v>737</v>
      </c>
      <c r="J31" t="s">
        <v>541</v>
      </c>
      <c r="K31" t="s">
        <v>738</v>
      </c>
      <c r="L31" t="s">
        <v>739</v>
      </c>
      <c r="M31" t="s">
        <v>740</v>
      </c>
      <c r="O31" t="s">
        <v>741</v>
      </c>
      <c r="P31" t="s">
        <v>725</v>
      </c>
      <c r="Q31" s="461">
        <v>44612</v>
      </c>
      <c r="R31" s="461">
        <v>44612</v>
      </c>
      <c r="S31" s="461">
        <v>44606</v>
      </c>
      <c r="T31" t="s">
        <v>483</v>
      </c>
    </row>
    <row r="32" spans="1:20" x14ac:dyDescent="0.25">
      <c r="A32" t="s">
        <v>742</v>
      </c>
      <c r="B32" t="s">
        <v>743</v>
      </c>
      <c r="C32" t="s">
        <v>744</v>
      </c>
      <c r="D32" t="s">
        <v>745</v>
      </c>
      <c r="F32" s="461">
        <v>35038</v>
      </c>
      <c r="G32">
        <v>-708793</v>
      </c>
      <c r="H32" t="s">
        <v>463</v>
      </c>
      <c r="I32" t="s">
        <v>641</v>
      </c>
      <c r="J32" t="s">
        <v>541</v>
      </c>
      <c r="K32" t="s">
        <v>746</v>
      </c>
      <c r="L32" t="s">
        <v>747</v>
      </c>
      <c r="M32" t="s">
        <v>748</v>
      </c>
      <c r="O32" t="s">
        <v>749</v>
      </c>
      <c r="P32" t="s">
        <v>750</v>
      </c>
      <c r="Q32" s="461">
        <v>44612</v>
      </c>
      <c r="R32" s="461">
        <v>44612</v>
      </c>
      <c r="S32" s="461"/>
      <c r="T32" t="s">
        <v>483</v>
      </c>
    </row>
    <row r="33" spans="1:20" x14ac:dyDescent="0.25">
      <c r="A33" t="s">
        <v>751</v>
      </c>
      <c r="B33" t="s">
        <v>752</v>
      </c>
      <c r="C33" t="s">
        <v>753</v>
      </c>
      <c r="D33" t="s">
        <v>754</v>
      </c>
      <c r="F33" s="461">
        <v>31434</v>
      </c>
      <c r="G33">
        <v>1002106</v>
      </c>
      <c r="H33" t="s">
        <v>476</v>
      </c>
      <c r="I33" t="s">
        <v>488</v>
      </c>
      <c r="K33" t="s">
        <v>755</v>
      </c>
      <c r="L33" t="s">
        <v>756</v>
      </c>
      <c r="M33" t="s">
        <v>757</v>
      </c>
      <c r="O33" t="s">
        <v>758</v>
      </c>
      <c r="P33" t="s">
        <v>759</v>
      </c>
      <c r="Q33" s="461">
        <v>41897</v>
      </c>
      <c r="R33" s="461">
        <v>41897</v>
      </c>
      <c r="S33" s="461">
        <v>41893</v>
      </c>
      <c r="T33" t="s">
        <v>471</v>
      </c>
    </row>
    <row r="34" spans="1:20" x14ac:dyDescent="0.25">
      <c r="A34" t="s">
        <v>760</v>
      </c>
      <c r="B34" t="s">
        <v>761</v>
      </c>
      <c r="C34" t="s">
        <v>762</v>
      </c>
      <c r="D34" t="s">
        <v>763</v>
      </c>
      <c r="F34" s="461">
        <v>36544</v>
      </c>
      <c r="G34">
        <v>1269611</v>
      </c>
      <c r="H34" t="s">
        <v>476</v>
      </c>
      <c r="J34" t="s">
        <v>465</v>
      </c>
      <c r="K34" t="s">
        <v>764</v>
      </c>
      <c r="L34" t="s">
        <v>765</v>
      </c>
      <c r="M34" t="s">
        <v>766</v>
      </c>
      <c r="O34" t="s">
        <v>767</v>
      </c>
      <c r="P34" t="s">
        <v>768</v>
      </c>
      <c r="Q34" s="461">
        <v>44154</v>
      </c>
      <c r="R34" s="461">
        <v>44154</v>
      </c>
      <c r="S34" s="461">
        <v>44153</v>
      </c>
      <c r="T34" t="s">
        <v>483</v>
      </c>
    </row>
    <row r="35" spans="1:20" x14ac:dyDescent="0.25">
      <c r="A35" t="s">
        <v>769</v>
      </c>
      <c r="B35" t="s">
        <v>770</v>
      </c>
      <c r="C35" t="s">
        <v>771</v>
      </c>
      <c r="D35" t="s">
        <v>772</v>
      </c>
      <c r="F35" s="461">
        <v>34748</v>
      </c>
      <c r="G35">
        <v>-1030870</v>
      </c>
      <c r="H35" t="s">
        <v>463</v>
      </c>
      <c r="I35" t="s">
        <v>641</v>
      </c>
      <c r="J35" t="s">
        <v>529</v>
      </c>
      <c r="K35" t="s">
        <v>773</v>
      </c>
      <c r="L35" t="s">
        <v>774</v>
      </c>
      <c r="M35" t="s">
        <v>775</v>
      </c>
      <c r="O35" t="s">
        <v>776</v>
      </c>
      <c r="P35" t="s">
        <v>777</v>
      </c>
      <c r="Q35" s="461">
        <v>44612</v>
      </c>
      <c r="R35" s="461">
        <v>44612</v>
      </c>
      <c r="S35" s="461">
        <v>44607</v>
      </c>
      <c r="T35" t="s">
        <v>483</v>
      </c>
    </row>
    <row r="36" spans="1:20" x14ac:dyDescent="0.25">
      <c r="A36" t="s">
        <v>778</v>
      </c>
      <c r="B36" t="s">
        <v>779</v>
      </c>
      <c r="C36" t="s">
        <v>780</v>
      </c>
      <c r="D36" t="s">
        <v>781</v>
      </c>
      <c r="F36" s="461">
        <v>36835</v>
      </c>
      <c r="G36">
        <v>1312050</v>
      </c>
      <c r="H36" t="s">
        <v>463</v>
      </c>
      <c r="I36" t="s">
        <v>641</v>
      </c>
      <c r="J36" t="s">
        <v>529</v>
      </c>
      <c r="K36" t="s">
        <v>782</v>
      </c>
      <c r="L36" t="s">
        <v>783</v>
      </c>
      <c r="M36" t="s">
        <v>784</v>
      </c>
      <c r="O36" t="s">
        <v>785</v>
      </c>
      <c r="P36" t="s">
        <v>786</v>
      </c>
      <c r="Q36" s="461">
        <v>43406</v>
      </c>
      <c r="R36" s="461">
        <v>43406</v>
      </c>
      <c r="S36" s="461">
        <v>43405</v>
      </c>
      <c r="T36" t="s">
        <v>483</v>
      </c>
    </row>
    <row r="37" spans="1:20" x14ac:dyDescent="0.25">
      <c r="A37" t="s">
        <v>787</v>
      </c>
      <c r="B37" t="s">
        <v>788</v>
      </c>
      <c r="C37" t="s">
        <v>789</v>
      </c>
      <c r="D37" t="s">
        <v>790</v>
      </c>
      <c r="E37" t="s">
        <v>791</v>
      </c>
      <c r="F37" s="461">
        <v>23354</v>
      </c>
      <c r="H37" t="s">
        <v>463</v>
      </c>
      <c r="I37" t="s">
        <v>528</v>
      </c>
      <c r="J37" t="s">
        <v>497</v>
      </c>
      <c r="K37" t="s">
        <v>792</v>
      </c>
      <c r="L37" t="s">
        <v>793</v>
      </c>
      <c r="M37" t="s">
        <v>794</v>
      </c>
      <c r="O37" t="s">
        <v>795</v>
      </c>
      <c r="P37" t="s">
        <v>796</v>
      </c>
      <c r="Q37" s="461">
        <v>44805</v>
      </c>
      <c r="R37" s="461">
        <v>44805</v>
      </c>
      <c r="S37" s="461">
        <v>44803</v>
      </c>
      <c r="T37" t="s">
        <v>471</v>
      </c>
    </row>
    <row r="38" spans="1:20" x14ac:dyDescent="0.25">
      <c r="A38" t="s">
        <v>797</v>
      </c>
      <c r="B38" t="s">
        <v>798</v>
      </c>
      <c r="C38" t="s">
        <v>799</v>
      </c>
      <c r="D38" t="s">
        <v>800</v>
      </c>
      <c r="F38" s="461">
        <v>35617</v>
      </c>
      <c r="G38">
        <v>808754</v>
      </c>
      <c r="H38" t="s">
        <v>463</v>
      </c>
      <c r="I38" t="s">
        <v>641</v>
      </c>
      <c r="J38" t="s">
        <v>529</v>
      </c>
      <c r="K38" t="s">
        <v>801</v>
      </c>
      <c r="L38" t="s">
        <v>802</v>
      </c>
      <c r="M38" t="s">
        <v>803</v>
      </c>
      <c r="O38" t="s">
        <v>804</v>
      </c>
      <c r="P38" t="s">
        <v>805</v>
      </c>
      <c r="Q38" s="461">
        <v>43194</v>
      </c>
      <c r="R38" s="461">
        <v>43194</v>
      </c>
      <c r="S38" s="461">
        <v>43188</v>
      </c>
      <c r="T38" t="s">
        <v>483</v>
      </c>
    </row>
    <row r="39" spans="1:20" x14ac:dyDescent="0.25">
      <c r="A39" t="s">
        <v>806</v>
      </c>
      <c r="B39" t="s">
        <v>807</v>
      </c>
      <c r="C39" t="s">
        <v>808</v>
      </c>
      <c r="D39" t="s">
        <v>809</v>
      </c>
      <c r="F39" s="461">
        <v>33678</v>
      </c>
      <c r="H39" t="s">
        <v>463</v>
      </c>
      <c r="I39" t="s">
        <v>631</v>
      </c>
      <c r="J39" t="s">
        <v>541</v>
      </c>
      <c r="K39" t="s">
        <v>810</v>
      </c>
      <c r="L39" t="s">
        <v>811</v>
      </c>
      <c r="M39" t="s">
        <v>812</v>
      </c>
      <c r="O39" t="s">
        <v>813</v>
      </c>
      <c r="P39" t="s">
        <v>814</v>
      </c>
      <c r="Q39" s="461">
        <v>44602</v>
      </c>
      <c r="R39" s="461">
        <v>44602</v>
      </c>
      <c r="S39" s="461">
        <v>44600</v>
      </c>
      <c r="T39" t="s">
        <v>471</v>
      </c>
    </row>
    <row r="40" spans="1:20" x14ac:dyDescent="0.25">
      <c r="A40" t="s">
        <v>815</v>
      </c>
      <c r="B40" t="s">
        <v>816</v>
      </c>
      <c r="C40" t="s">
        <v>799</v>
      </c>
      <c r="D40" t="s">
        <v>817</v>
      </c>
      <c r="F40" s="461">
        <v>36130</v>
      </c>
      <c r="H40" t="s">
        <v>463</v>
      </c>
      <c r="I40" t="s">
        <v>641</v>
      </c>
      <c r="J40" t="s">
        <v>541</v>
      </c>
      <c r="K40" t="s">
        <v>818</v>
      </c>
      <c r="L40" t="s">
        <v>819</v>
      </c>
      <c r="M40" t="s">
        <v>820</v>
      </c>
      <c r="O40" t="s">
        <v>821</v>
      </c>
      <c r="P40" t="s">
        <v>805</v>
      </c>
      <c r="Q40" s="461">
        <v>42845</v>
      </c>
      <c r="R40" s="461">
        <v>43034</v>
      </c>
      <c r="S40" s="461">
        <v>42845</v>
      </c>
      <c r="T40" t="s">
        <v>471</v>
      </c>
    </row>
    <row r="41" spans="1:20" x14ac:dyDescent="0.25">
      <c r="A41" t="s">
        <v>822</v>
      </c>
      <c r="B41" t="s">
        <v>823</v>
      </c>
      <c r="C41" t="s">
        <v>824</v>
      </c>
      <c r="D41" t="s">
        <v>825</v>
      </c>
      <c r="F41" s="461">
        <v>36513</v>
      </c>
      <c r="H41" t="s">
        <v>476</v>
      </c>
      <c r="J41" t="s">
        <v>541</v>
      </c>
      <c r="K41" t="s">
        <v>826</v>
      </c>
      <c r="L41" t="s">
        <v>827</v>
      </c>
      <c r="M41" t="s">
        <v>828</v>
      </c>
      <c r="O41" t="s">
        <v>829</v>
      </c>
      <c r="P41" t="s">
        <v>830</v>
      </c>
      <c r="Q41" s="461">
        <v>43388</v>
      </c>
      <c r="R41" s="461">
        <v>43388</v>
      </c>
      <c r="S41" s="461">
        <v>43380</v>
      </c>
      <c r="T41" t="s">
        <v>471</v>
      </c>
    </row>
    <row r="42" spans="1:20" x14ac:dyDescent="0.25">
      <c r="A42" t="s">
        <v>831</v>
      </c>
      <c r="B42" t="s">
        <v>832</v>
      </c>
      <c r="C42" t="s">
        <v>833</v>
      </c>
      <c r="D42" t="s">
        <v>834</v>
      </c>
      <c r="F42" s="461">
        <v>22750</v>
      </c>
      <c r="H42" t="s">
        <v>835</v>
      </c>
      <c r="I42" t="s">
        <v>836</v>
      </c>
      <c r="J42" t="s">
        <v>541</v>
      </c>
      <c r="K42" t="s">
        <v>837</v>
      </c>
      <c r="L42" t="s">
        <v>838</v>
      </c>
      <c r="M42" t="s">
        <v>839</v>
      </c>
      <c r="O42" t="s">
        <v>840</v>
      </c>
      <c r="P42" t="s">
        <v>841</v>
      </c>
      <c r="Q42" s="461">
        <v>44800</v>
      </c>
      <c r="R42" s="461">
        <v>44800</v>
      </c>
      <c r="S42" s="461">
        <v>44799</v>
      </c>
      <c r="T42" t="s">
        <v>471</v>
      </c>
    </row>
    <row r="43" spans="1:20" x14ac:dyDescent="0.25">
      <c r="A43" t="s">
        <v>842</v>
      </c>
      <c r="B43" t="s">
        <v>843</v>
      </c>
      <c r="C43" t="s">
        <v>844</v>
      </c>
      <c r="D43" t="s">
        <v>845</v>
      </c>
      <c r="F43" s="461">
        <v>37755</v>
      </c>
      <c r="H43" t="s">
        <v>463</v>
      </c>
      <c r="I43" t="s">
        <v>846</v>
      </c>
      <c r="J43" t="s">
        <v>541</v>
      </c>
      <c r="K43" t="s">
        <v>847</v>
      </c>
      <c r="L43" t="s">
        <v>848</v>
      </c>
      <c r="M43" t="s">
        <v>849</v>
      </c>
      <c r="O43" t="s">
        <v>850</v>
      </c>
      <c r="P43" t="s">
        <v>851</v>
      </c>
      <c r="Q43" s="461">
        <v>44612</v>
      </c>
      <c r="R43" s="461">
        <v>44612</v>
      </c>
      <c r="S43" s="461">
        <v>44603</v>
      </c>
      <c r="T43" t="s">
        <v>471</v>
      </c>
    </row>
    <row r="44" spans="1:20" x14ac:dyDescent="0.25">
      <c r="A44" t="s">
        <v>852</v>
      </c>
      <c r="B44" t="s">
        <v>853</v>
      </c>
      <c r="C44" t="s">
        <v>844</v>
      </c>
      <c r="D44" t="s">
        <v>854</v>
      </c>
      <c r="F44" s="461">
        <v>33643</v>
      </c>
      <c r="G44">
        <v>735676</v>
      </c>
      <c r="H44" t="s">
        <v>476</v>
      </c>
      <c r="J44" t="s">
        <v>541</v>
      </c>
      <c r="K44" t="s">
        <v>855</v>
      </c>
      <c r="L44" t="s">
        <v>856</v>
      </c>
      <c r="M44" t="s">
        <v>857</v>
      </c>
      <c r="O44" t="s">
        <v>858</v>
      </c>
      <c r="P44" t="s">
        <v>851</v>
      </c>
      <c r="Q44" s="461">
        <v>43071</v>
      </c>
      <c r="R44" s="461">
        <v>43071</v>
      </c>
      <c r="S44" s="461"/>
      <c r="T44" t="s">
        <v>471</v>
      </c>
    </row>
    <row r="45" spans="1:20" x14ac:dyDescent="0.25">
      <c r="A45" t="s">
        <v>859</v>
      </c>
      <c r="B45" t="s">
        <v>860</v>
      </c>
      <c r="C45" t="s">
        <v>844</v>
      </c>
      <c r="D45" t="s">
        <v>861</v>
      </c>
      <c r="F45" s="461">
        <v>35520</v>
      </c>
      <c r="G45">
        <v>1069593</v>
      </c>
      <c r="H45" t="s">
        <v>463</v>
      </c>
      <c r="I45" t="s">
        <v>464</v>
      </c>
      <c r="J45" t="s">
        <v>541</v>
      </c>
      <c r="K45" t="s">
        <v>862</v>
      </c>
      <c r="L45" t="s">
        <v>863</v>
      </c>
      <c r="M45" t="s">
        <v>864</v>
      </c>
      <c r="O45" t="s">
        <v>865</v>
      </c>
      <c r="P45" t="s">
        <v>851</v>
      </c>
      <c r="Q45" s="461">
        <v>43506</v>
      </c>
      <c r="R45" s="461">
        <v>43506</v>
      </c>
      <c r="S45" s="461">
        <v>43504</v>
      </c>
      <c r="T45" t="s">
        <v>471</v>
      </c>
    </row>
    <row r="46" spans="1:20" x14ac:dyDescent="0.25">
      <c r="A46" t="s">
        <v>866</v>
      </c>
      <c r="B46" t="s">
        <v>867</v>
      </c>
      <c r="C46" t="s">
        <v>868</v>
      </c>
      <c r="D46" t="s">
        <v>869</v>
      </c>
      <c r="F46" s="461">
        <v>30207</v>
      </c>
      <c r="G46">
        <v>190253</v>
      </c>
      <c r="H46" t="s">
        <v>870</v>
      </c>
      <c r="I46" t="s">
        <v>846</v>
      </c>
      <c r="J46" t="s">
        <v>529</v>
      </c>
      <c r="K46" t="s">
        <v>871</v>
      </c>
      <c r="M46" t="s">
        <v>872</v>
      </c>
      <c r="N46" t="s">
        <v>873</v>
      </c>
      <c r="O46" t="s">
        <v>874</v>
      </c>
      <c r="P46" t="s">
        <v>875</v>
      </c>
      <c r="Q46" s="461">
        <v>40678</v>
      </c>
      <c r="R46" s="461">
        <v>41774</v>
      </c>
      <c r="S46" s="461">
        <v>41866</v>
      </c>
      <c r="T46" t="s">
        <v>483</v>
      </c>
    </row>
    <row r="47" spans="1:20" x14ac:dyDescent="0.25">
      <c r="A47" t="s">
        <v>876</v>
      </c>
      <c r="B47" t="s">
        <v>877</v>
      </c>
      <c r="C47" t="s">
        <v>878</v>
      </c>
      <c r="D47" t="s">
        <v>879</v>
      </c>
      <c r="F47" s="461">
        <v>33134</v>
      </c>
      <c r="H47" t="s">
        <v>880</v>
      </c>
      <c r="I47" t="s">
        <v>516</v>
      </c>
      <c r="J47" t="s">
        <v>541</v>
      </c>
      <c r="K47" t="s">
        <v>881</v>
      </c>
      <c r="L47" t="s">
        <v>882</v>
      </c>
      <c r="M47" t="s">
        <v>883</v>
      </c>
      <c r="O47" t="s">
        <v>884</v>
      </c>
      <c r="P47" t="s">
        <v>885</v>
      </c>
      <c r="Q47" s="461">
        <v>44809</v>
      </c>
      <c r="R47" s="461">
        <v>44809</v>
      </c>
      <c r="S47" s="461">
        <v>44806</v>
      </c>
      <c r="T47" t="s">
        <v>471</v>
      </c>
    </row>
    <row r="48" spans="1:20" x14ac:dyDescent="0.25">
      <c r="A48" t="s">
        <v>886</v>
      </c>
      <c r="B48" t="s">
        <v>887</v>
      </c>
      <c r="C48" t="s">
        <v>868</v>
      </c>
      <c r="D48" t="s">
        <v>888</v>
      </c>
      <c r="F48" s="461">
        <v>21643</v>
      </c>
      <c r="H48" t="s">
        <v>729</v>
      </c>
      <c r="I48" t="s">
        <v>685</v>
      </c>
      <c r="J48" t="s">
        <v>541</v>
      </c>
      <c r="K48" t="s">
        <v>889</v>
      </c>
      <c r="L48" t="s">
        <v>890</v>
      </c>
      <c r="M48" t="s">
        <v>891</v>
      </c>
      <c r="O48" t="s">
        <v>892</v>
      </c>
      <c r="P48" t="s">
        <v>875</v>
      </c>
      <c r="Q48" s="461">
        <v>43521</v>
      </c>
      <c r="R48" s="461">
        <v>43521</v>
      </c>
      <c r="S48" s="461">
        <v>43511</v>
      </c>
      <c r="T48" t="s">
        <v>471</v>
      </c>
    </row>
    <row r="49" spans="1:20" x14ac:dyDescent="0.25">
      <c r="A49" t="s">
        <v>893</v>
      </c>
      <c r="B49" t="s">
        <v>894</v>
      </c>
      <c r="C49" t="s">
        <v>895</v>
      </c>
      <c r="D49" t="s">
        <v>896</v>
      </c>
      <c r="F49" s="461">
        <v>25192</v>
      </c>
      <c r="G49">
        <v>684946</v>
      </c>
      <c r="H49" t="s">
        <v>476</v>
      </c>
      <c r="J49" t="s">
        <v>497</v>
      </c>
      <c r="K49" t="s">
        <v>897</v>
      </c>
      <c r="L49" t="s">
        <v>898</v>
      </c>
      <c r="M49" t="s">
        <v>899</v>
      </c>
      <c r="O49" t="s">
        <v>900</v>
      </c>
      <c r="P49" t="s">
        <v>901</v>
      </c>
      <c r="Q49" s="461">
        <v>43521</v>
      </c>
      <c r="R49" s="461">
        <v>43521</v>
      </c>
      <c r="S49" s="461"/>
      <c r="T49" t="s">
        <v>483</v>
      </c>
    </row>
    <row r="50" spans="1:20" x14ac:dyDescent="0.25">
      <c r="A50" t="s">
        <v>902</v>
      </c>
      <c r="B50" t="s">
        <v>903</v>
      </c>
      <c r="C50" t="s">
        <v>904</v>
      </c>
      <c r="D50" t="s">
        <v>905</v>
      </c>
      <c r="F50" s="461">
        <v>27794</v>
      </c>
      <c r="H50" t="s">
        <v>527</v>
      </c>
      <c r="I50" t="s">
        <v>906</v>
      </c>
      <c r="J50" t="s">
        <v>497</v>
      </c>
      <c r="L50" t="s">
        <v>907</v>
      </c>
      <c r="N50" t="s">
        <v>908</v>
      </c>
      <c r="O50" t="s">
        <v>909</v>
      </c>
      <c r="P50" t="s">
        <v>910</v>
      </c>
      <c r="Q50" s="461">
        <v>43859</v>
      </c>
      <c r="R50" s="461">
        <v>43859</v>
      </c>
      <c r="S50" s="461">
        <v>43859</v>
      </c>
      <c r="T50" t="s">
        <v>471</v>
      </c>
    </row>
    <row r="51" spans="1:20" x14ac:dyDescent="0.25">
      <c r="A51" t="s">
        <v>911</v>
      </c>
      <c r="B51" t="s">
        <v>912</v>
      </c>
      <c r="C51" t="s">
        <v>904</v>
      </c>
      <c r="D51" t="s">
        <v>913</v>
      </c>
      <c r="F51" s="461">
        <v>32958</v>
      </c>
      <c r="H51" t="s">
        <v>476</v>
      </c>
      <c r="J51" t="s">
        <v>465</v>
      </c>
      <c r="K51" t="s">
        <v>914</v>
      </c>
      <c r="L51" t="s">
        <v>915</v>
      </c>
      <c r="N51" t="s">
        <v>916</v>
      </c>
      <c r="O51" t="s">
        <v>917</v>
      </c>
      <c r="P51" t="s">
        <v>910</v>
      </c>
      <c r="Q51" s="461">
        <v>43851</v>
      </c>
      <c r="R51" s="461">
        <v>43851</v>
      </c>
      <c r="S51" s="461">
        <v>43851</v>
      </c>
      <c r="T51" t="s">
        <v>471</v>
      </c>
    </row>
    <row r="52" spans="1:20" x14ac:dyDescent="0.25">
      <c r="A52" t="s">
        <v>918</v>
      </c>
      <c r="B52" t="s">
        <v>919</v>
      </c>
      <c r="C52" t="s">
        <v>920</v>
      </c>
      <c r="D52" t="s">
        <v>921</v>
      </c>
      <c r="F52" s="461">
        <v>34068</v>
      </c>
      <c r="G52">
        <v>992475</v>
      </c>
      <c r="H52" t="s">
        <v>463</v>
      </c>
      <c r="I52" t="s">
        <v>496</v>
      </c>
      <c r="J52" t="s">
        <v>497</v>
      </c>
      <c r="K52" t="s">
        <v>922</v>
      </c>
      <c r="L52" t="s">
        <v>923</v>
      </c>
      <c r="M52" t="s">
        <v>924</v>
      </c>
      <c r="O52" t="s">
        <v>925</v>
      </c>
      <c r="P52" t="s">
        <v>926</v>
      </c>
      <c r="Q52" s="461">
        <v>43483</v>
      </c>
      <c r="R52" s="461">
        <v>43483</v>
      </c>
      <c r="S52" s="461">
        <v>43482</v>
      </c>
      <c r="T52" t="s">
        <v>471</v>
      </c>
    </row>
    <row r="53" spans="1:20" x14ac:dyDescent="0.25">
      <c r="A53" t="s">
        <v>927</v>
      </c>
      <c r="B53" t="s">
        <v>928</v>
      </c>
      <c r="C53" t="s">
        <v>929</v>
      </c>
      <c r="D53" t="s">
        <v>930</v>
      </c>
      <c r="F53" s="461">
        <v>23264</v>
      </c>
      <c r="H53" t="s">
        <v>931</v>
      </c>
      <c r="I53" t="s">
        <v>675</v>
      </c>
      <c r="J53" t="s">
        <v>497</v>
      </c>
      <c r="K53" t="s">
        <v>932</v>
      </c>
      <c r="L53" t="s">
        <v>933</v>
      </c>
      <c r="N53" t="s">
        <v>934</v>
      </c>
      <c r="O53" t="s">
        <v>935</v>
      </c>
      <c r="P53" t="s">
        <v>936</v>
      </c>
      <c r="Q53" s="461">
        <v>43850</v>
      </c>
      <c r="R53" s="461">
        <v>43850</v>
      </c>
      <c r="S53" s="461">
        <v>43847</v>
      </c>
      <c r="T53" t="s">
        <v>471</v>
      </c>
    </row>
    <row r="54" spans="1:20" x14ac:dyDescent="0.25">
      <c r="A54" t="s">
        <v>937</v>
      </c>
      <c r="B54" t="s">
        <v>938</v>
      </c>
      <c r="C54" t="s">
        <v>929</v>
      </c>
      <c r="D54" t="s">
        <v>939</v>
      </c>
      <c r="F54" s="461">
        <v>36184</v>
      </c>
      <c r="G54">
        <v>1103748</v>
      </c>
      <c r="H54" t="s">
        <v>463</v>
      </c>
      <c r="I54" t="s">
        <v>641</v>
      </c>
      <c r="J54" t="s">
        <v>541</v>
      </c>
      <c r="K54" t="s">
        <v>940</v>
      </c>
      <c r="L54" t="s">
        <v>941</v>
      </c>
      <c r="M54" t="s">
        <v>942</v>
      </c>
      <c r="O54" t="s">
        <v>943</v>
      </c>
      <c r="P54" t="s">
        <v>936</v>
      </c>
      <c r="Q54" s="461">
        <v>42904</v>
      </c>
      <c r="R54" s="461">
        <v>43034</v>
      </c>
      <c r="S54" s="461">
        <v>42904</v>
      </c>
      <c r="T54" t="s">
        <v>471</v>
      </c>
    </row>
    <row r="55" spans="1:20" x14ac:dyDescent="0.25">
      <c r="A55" t="s">
        <v>944</v>
      </c>
      <c r="B55" t="s">
        <v>945</v>
      </c>
      <c r="C55" t="s">
        <v>929</v>
      </c>
      <c r="D55" t="s">
        <v>946</v>
      </c>
      <c r="F55" s="461">
        <v>31957</v>
      </c>
      <c r="H55" t="s">
        <v>463</v>
      </c>
      <c r="I55" t="s">
        <v>516</v>
      </c>
      <c r="J55" t="s">
        <v>465</v>
      </c>
      <c r="K55" t="s">
        <v>947</v>
      </c>
      <c r="L55" t="s">
        <v>948</v>
      </c>
      <c r="M55" t="s">
        <v>949</v>
      </c>
      <c r="O55" t="s">
        <v>950</v>
      </c>
      <c r="P55" t="s">
        <v>936</v>
      </c>
      <c r="Q55" s="461">
        <v>44612</v>
      </c>
      <c r="R55" s="461">
        <v>44612</v>
      </c>
      <c r="S55" s="461">
        <v>44603</v>
      </c>
      <c r="T55" t="s">
        <v>471</v>
      </c>
    </row>
    <row r="56" spans="1:20" x14ac:dyDescent="0.25">
      <c r="A56" t="s">
        <v>951</v>
      </c>
      <c r="B56" t="s">
        <v>952</v>
      </c>
      <c r="C56" t="s">
        <v>953</v>
      </c>
      <c r="D56" t="s">
        <v>954</v>
      </c>
      <c r="F56" s="461">
        <v>34814</v>
      </c>
      <c r="H56" t="s">
        <v>476</v>
      </c>
      <c r="J56" t="s">
        <v>541</v>
      </c>
      <c r="K56" t="s">
        <v>955</v>
      </c>
      <c r="L56" t="s">
        <v>956</v>
      </c>
      <c r="M56" t="s">
        <v>957</v>
      </c>
      <c r="O56" t="s">
        <v>958</v>
      </c>
      <c r="P56" t="s">
        <v>959</v>
      </c>
      <c r="Q56" s="461">
        <v>42296</v>
      </c>
      <c r="R56" s="461">
        <v>42327</v>
      </c>
      <c r="S56" s="461">
        <v>42288</v>
      </c>
      <c r="T56" t="s">
        <v>471</v>
      </c>
    </row>
    <row r="57" spans="1:20" x14ac:dyDescent="0.25">
      <c r="A57" t="s">
        <v>960</v>
      </c>
      <c r="B57" t="s">
        <v>961</v>
      </c>
      <c r="C57" t="s">
        <v>962</v>
      </c>
      <c r="D57" t="s">
        <v>963</v>
      </c>
      <c r="E57" t="s">
        <v>964</v>
      </c>
      <c r="F57" s="461">
        <v>34325</v>
      </c>
      <c r="G57">
        <v>1893448</v>
      </c>
      <c r="H57" t="s">
        <v>527</v>
      </c>
      <c r="I57" t="s">
        <v>675</v>
      </c>
      <c r="J57" t="s">
        <v>541</v>
      </c>
      <c r="L57" t="s">
        <v>965</v>
      </c>
      <c r="N57" t="s">
        <v>966</v>
      </c>
      <c r="O57" t="s">
        <v>967</v>
      </c>
      <c r="P57" t="s">
        <v>968</v>
      </c>
      <c r="Q57" s="461">
        <v>43864</v>
      </c>
      <c r="R57" s="461">
        <v>43864</v>
      </c>
      <c r="S57" s="461">
        <v>43861</v>
      </c>
      <c r="T57" t="s">
        <v>471</v>
      </c>
    </row>
    <row r="58" spans="1:20" x14ac:dyDescent="0.25">
      <c r="A58" t="s">
        <v>969</v>
      </c>
      <c r="B58" t="s">
        <v>970</v>
      </c>
      <c r="C58" t="s">
        <v>971</v>
      </c>
      <c r="D58" t="s">
        <v>972</v>
      </c>
      <c r="F58" s="461">
        <v>36444</v>
      </c>
      <c r="G58">
        <v>799080</v>
      </c>
      <c r="H58" t="s">
        <v>463</v>
      </c>
      <c r="I58" t="s">
        <v>551</v>
      </c>
      <c r="J58" t="s">
        <v>465</v>
      </c>
      <c r="K58" t="s">
        <v>973</v>
      </c>
      <c r="L58" t="s">
        <v>974</v>
      </c>
      <c r="M58" t="s">
        <v>975</v>
      </c>
      <c r="O58" t="s">
        <v>976</v>
      </c>
      <c r="P58" t="s">
        <v>977</v>
      </c>
      <c r="Q58" s="461">
        <v>43259</v>
      </c>
      <c r="R58" s="461">
        <v>43259</v>
      </c>
      <c r="S58" s="461">
        <v>43258</v>
      </c>
      <c r="T58" t="s">
        <v>471</v>
      </c>
    </row>
    <row r="59" spans="1:20" x14ac:dyDescent="0.25">
      <c r="A59" t="s">
        <v>978</v>
      </c>
      <c r="B59" t="s">
        <v>979</v>
      </c>
      <c r="C59" t="s">
        <v>980</v>
      </c>
      <c r="D59" t="s">
        <v>702</v>
      </c>
      <c r="F59" s="461">
        <v>37405</v>
      </c>
      <c r="H59" t="s">
        <v>981</v>
      </c>
      <c r="I59" t="s">
        <v>703</v>
      </c>
      <c r="J59" t="s">
        <v>529</v>
      </c>
      <c r="K59" t="s">
        <v>982</v>
      </c>
      <c r="L59" t="s">
        <v>705</v>
      </c>
      <c r="M59" t="s">
        <v>983</v>
      </c>
      <c r="O59" t="s">
        <v>984</v>
      </c>
      <c r="P59" t="s">
        <v>985</v>
      </c>
      <c r="Q59" s="461">
        <v>43864</v>
      </c>
      <c r="R59" s="461">
        <v>43864</v>
      </c>
      <c r="S59" s="461">
        <v>43861</v>
      </c>
      <c r="T59" t="s">
        <v>471</v>
      </c>
    </row>
    <row r="60" spans="1:20" x14ac:dyDescent="0.25">
      <c r="A60" t="s">
        <v>986</v>
      </c>
      <c r="B60" t="s">
        <v>987</v>
      </c>
      <c r="C60" t="s">
        <v>988</v>
      </c>
      <c r="D60" t="s">
        <v>989</v>
      </c>
      <c r="F60" s="461"/>
      <c r="H60" t="s">
        <v>463</v>
      </c>
      <c r="I60" t="s">
        <v>631</v>
      </c>
      <c r="J60" t="s">
        <v>465</v>
      </c>
      <c r="K60" t="s">
        <v>990</v>
      </c>
      <c r="L60" t="s">
        <v>991</v>
      </c>
      <c r="M60" t="s">
        <v>992</v>
      </c>
      <c r="O60" t="s">
        <v>993</v>
      </c>
      <c r="P60" t="s">
        <v>994</v>
      </c>
      <c r="Q60" s="461">
        <v>43902</v>
      </c>
      <c r="R60" s="461">
        <v>43902</v>
      </c>
      <c r="S60" s="461">
        <v>43899</v>
      </c>
      <c r="T60" t="s">
        <v>471</v>
      </c>
    </row>
    <row r="61" spans="1:20" x14ac:dyDescent="0.25">
      <c r="A61" t="s">
        <v>995</v>
      </c>
      <c r="B61" t="s">
        <v>996</v>
      </c>
      <c r="C61" t="s">
        <v>997</v>
      </c>
      <c r="D61" t="s">
        <v>998</v>
      </c>
      <c r="F61" s="461">
        <v>32374</v>
      </c>
      <c r="H61" t="s">
        <v>476</v>
      </c>
      <c r="J61" t="s">
        <v>529</v>
      </c>
      <c r="K61" t="s">
        <v>999</v>
      </c>
      <c r="L61" t="s">
        <v>1000</v>
      </c>
      <c r="M61" t="s">
        <v>1001</v>
      </c>
      <c r="O61" t="s">
        <v>1002</v>
      </c>
      <c r="P61" t="s">
        <v>1003</v>
      </c>
      <c r="Q61" s="461">
        <v>44560</v>
      </c>
      <c r="R61" s="461">
        <v>44560</v>
      </c>
      <c r="S61" s="461">
        <v>44560</v>
      </c>
      <c r="T61" t="s">
        <v>471</v>
      </c>
    </row>
    <row r="62" spans="1:20" x14ac:dyDescent="0.25">
      <c r="A62" t="s">
        <v>1004</v>
      </c>
      <c r="B62" t="s">
        <v>1005</v>
      </c>
      <c r="C62" t="s">
        <v>988</v>
      </c>
      <c r="D62" t="s">
        <v>1006</v>
      </c>
      <c r="F62" s="461">
        <v>34908</v>
      </c>
      <c r="G62">
        <v>664301</v>
      </c>
      <c r="H62" t="s">
        <v>476</v>
      </c>
      <c r="J62" t="s">
        <v>529</v>
      </c>
      <c r="K62" t="s">
        <v>1007</v>
      </c>
      <c r="L62" t="s">
        <v>1008</v>
      </c>
      <c r="M62" t="s">
        <v>1009</v>
      </c>
      <c r="O62" t="s">
        <v>1010</v>
      </c>
      <c r="P62" t="s">
        <v>994</v>
      </c>
      <c r="Q62" s="461">
        <v>44147</v>
      </c>
      <c r="R62" s="461">
        <v>44147</v>
      </c>
      <c r="S62" s="461">
        <v>44138</v>
      </c>
      <c r="T62" t="s">
        <v>471</v>
      </c>
    </row>
    <row r="63" spans="1:20" x14ac:dyDescent="0.25">
      <c r="A63" t="s">
        <v>1011</v>
      </c>
      <c r="B63" t="s">
        <v>1012</v>
      </c>
      <c r="C63" t="s">
        <v>1013</v>
      </c>
      <c r="D63" t="s">
        <v>1014</v>
      </c>
      <c r="F63" s="461">
        <v>30713</v>
      </c>
      <c r="G63">
        <v>759440</v>
      </c>
      <c r="H63" t="s">
        <v>476</v>
      </c>
      <c r="J63" t="s">
        <v>465</v>
      </c>
      <c r="K63" t="s">
        <v>1015</v>
      </c>
      <c r="L63" t="s">
        <v>1016</v>
      </c>
      <c r="M63" t="s">
        <v>1017</v>
      </c>
      <c r="O63" t="s">
        <v>1018</v>
      </c>
      <c r="P63" t="s">
        <v>1019</v>
      </c>
      <c r="Q63" s="461">
        <v>44483</v>
      </c>
      <c r="R63" s="461">
        <v>44483</v>
      </c>
      <c r="S63" s="461">
        <v>44483</v>
      </c>
      <c r="T63" t="s">
        <v>483</v>
      </c>
    </row>
    <row r="64" spans="1:20" x14ac:dyDescent="0.25">
      <c r="A64" t="s">
        <v>1020</v>
      </c>
      <c r="B64" t="s">
        <v>1021</v>
      </c>
      <c r="C64" t="s">
        <v>1022</v>
      </c>
      <c r="D64" t="s">
        <v>745</v>
      </c>
      <c r="F64" s="461">
        <v>35757</v>
      </c>
      <c r="G64">
        <v>708794</v>
      </c>
      <c r="H64" t="s">
        <v>463</v>
      </c>
      <c r="I64" t="s">
        <v>641</v>
      </c>
      <c r="J64" t="s">
        <v>465</v>
      </c>
      <c r="K64" t="s">
        <v>1023</v>
      </c>
      <c r="L64" t="s">
        <v>1024</v>
      </c>
      <c r="M64" t="s">
        <v>1025</v>
      </c>
      <c r="O64" t="s">
        <v>1026</v>
      </c>
      <c r="P64" t="s">
        <v>1027</v>
      </c>
      <c r="Q64" s="461">
        <v>42033</v>
      </c>
      <c r="R64" s="461">
        <v>42033</v>
      </c>
      <c r="S64" s="461">
        <v>42032</v>
      </c>
      <c r="T64" t="s">
        <v>483</v>
      </c>
    </row>
    <row r="65" spans="1:20" x14ac:dyDescent="0.25">
      <c r="A65" t="s">
        <v>1028</v>
      </c>
      <c r="B65" t="s">
        <v>1029</v>
      </c>
      <c r="C65" t="s">
        <v>1022</v>
      </c>
      <c r="D65" t="s">
        <v>1030</v>
      </c>
      <c r="F65" s="461">
        <v>34607</v>
      </c>
      <c r="G65">
        <v>1088378</v>
      </c>
      <c r="H65" t="s">
        <v>463</v>
      </c>
      <c r="I65" t="s">
        <v>540</v>
      </c>
      <c r="J65" t="s">
        <v>465</v>
      </c>
      <c r="K65" t="s">
        <v>1031</v>
      </c>
      <c r="L65" t="s">
        <v>1032</v>
      </c>
      <c r="M65" t="s">
        <v>1033</v>
      </c>
      <c r="O65" t="s">
        <v>1034</v>
      </c>
      <c r="P65" t="s">
        <v>1027</v>
      </c>
      <c r="Q65" s="461">
        <v>43854</v>
      </c>
      <c r="R65" s="461">
        <v>43854</v>
      </c>
      <c r="S65" s="461">
        <v>43853</v>
      </c>
      <c r="T65" t="s">
        <v>471</v>
      </c>
    </row>
    <row r="66" spans="1:20" x14ac:dyDescent="0.25">
      <c r="A66" t="s">
        <v>1035</v>
      </c>
      <c r="B66" t="s">
        <v>1036</v>
      </c>
      <c r="C66" t="s">
        <v>1037</v>
      </c>
      <c r="D66" t="s">
        <v>1038</v>
      </c>
      <c r="F66" s="461">
        <v>31639</v>
      </c>
      <c r="G66">
        <v>568588</v>
      </c>
      <c r="H66" t="s">
        <v>463</v>
      </c>
      <c r="I66" t="s">
        <v>737</v>
      </c>
      <c r="J66" t="s">
        <v>529</v>
      </c>
      <c r="K66" t="s">
        <v>1039</v>
      </c>
      <c r="L66" t="s">
        <v>1040</v>
      </c>
      <c r="N66" t="s">
        <v>1041</v>
      </c>
      <c r="O66" t="s">
        <v>1042</v>
      </c>
      <c r="P66" t="s">
        <v>1043</v>
      </c>
      <c r="Q66" s="461">
        <v>44231</v>
      </c>
      <c r="R66" s="461">
        <v>44231</v>
      </c>
      <c r="S66" s="461">
        <v>44228</v>
      </c>
      <c r="T66" t="s">
        <v>471</v>
      </c>
    </row>
    <row r="67" spans="1:20" x14ac:dyDescent="0.25">
      <c r="A67" t="s">
        <v>1044</v>
      </c>
      <c r="B67" t="s">
        <v>1045</v>
      </c>
      <c r="C67" t="s">
        <v>1046</v>
      </c>
      <c r="D67" t="s">
        <v>1047</v>
      </c>
      <c r="F67" s="461">
        <v>30514</v>
      </c>
      <c r="H67" t="s">
        <v>463</v>
      </c>
      <c r="I67" t="s">
        <v>694</v>
      </c>
      <c r="J67" t="s">
        <v>529</v>
      </c>
      <c r="K67" t="s">
        <v>1048</v>
      </c>
      <c r="L67" t="s">
        <v>1049</v>
      </c>
      <c r="M67" t="s">
        <v>1050</v>
      </c>
      <c r="O67" t="s">
        <v>1051</v>
      </c>
      <c r="P67" t="s">
        <v>1052</v>
      </c>
      <c r="Q67" s="461">
        <v>44802</v>
      </c>
      <c r="R67" s="461">
        <v>44802</v>
      </c>
      <c r="S67" s="461">
        <v>44802</v>
      </c>
      <c r="T67" t="s">
        <v>471</v>
      </c>
    </row>
    <row r="68" spans="1:20" x14ac:dyDescent="0.25">
      <c r="A68" t="s">
        <v>1053</v>
      </c>
      <c r="B68" t="s">
        <v>1054</v>
      </c>
      <c r="C68" t="s">
        <v>1055</v>
      </c>
      <c r="D68" t="s">
        <v>1056</v>
      </c>
      <c r="E68" t="s">
        <v>1057</v>
      </c>
      <c r="F68" s="461">
        <v>36284</v>
      </c>
      <c r="H68" t="s">
        <v>463</v>
      </c>
      <c r="I68" t="s">
        <v>641</v>
      </c>
      <c r="J68" t="s">
        <v>541</v>
      </c>
      <c r="K68" t="s">
        <v>1058</v>
      </c>
      <c r="L68" t="s">
        <v>1059</v>
      </c>
      <c r="M68" t="s">
        <v>1060</v>
      </c>
      <c r="O68" t="s">
        <v>1061</v>
      </c>
      <c r="P68" t="s">
        <v>1062</v>
      </c>
      <c r="Q68" s="461">
        <v>45008</v>
      </c>
      <c r="R68" s="461">
        <v>45008</v>
      </c>
      <c r="S68" s="461">
        <v>45003</v>
      </c>
      <c r="T68" t="s">
        <v>471</v>
      </c>
    </row>
    <row r="69" spans="1:20" x14ac:dyDescent="0.25">
      <c r="A69" t="s">
        <v>1063</v>
      </c>
      <c r="B69" t="s">
        <v>1064</v>
      </c>
      <c r="C69" t="s">
        <v>1065</v>
      </c>
      <c r="D69" t="s">
        <v>1066</v>
      </c>
      <c r="F69" s="461">
        <v>33961</v>
      </c>
      <c r="G69">
        <v>1093846</v>
      </c>
      <c r="H69" t="s">
        <v>463</v>
      </c>
      <c r="I69" t="s">
        <v>631</v>
      </c>
      <c r="J69" t="s">
        <v>541</v>
      </c>
      <c r="K69" t="s">
        <v>1067</v>
      </c>
      <c r="L69" t="s">
        <v>1068</v>
      </c>
      <c r="M69" t="s">
        <v>1069</v>
      </c>
      <c r="O69" t="s">
        <v>1070</v>
      </c>
      <c r="P69" t="s">
        <v>1071</v>
      </c>
      <c r="Q69" s="461">
        <v>44529</v>
      </c>
      <c r="R69" s="461">
        <v>44529</v>
      </c>
      <c r="S69" s="461">
        <v>44528</v>
      </c>
      <c r="T69" t="s">
        <v>471</v>
      </c>
    </row>
    <row r="70" spans="1:20" x14ac:dyDescent="0.25">
      <c r="A70" t="s">
        <v>1072</v>
      </c>
      <c r="B70" t="s">
        <v>1073</v>
      </c>
      <c r="C70" t="s">
        <v>1065</v>
      </c>
      <c r="D70" t="s">
        <v>1074</v>
      </c>
      <c r="F70" s="461">
        <v>34475</v>
      </c>
      <c r="H70" t="s">
        <v>463</v>
      </c>
      <c r="I70" t="s">
        <v>685</v>
      </c>
      <c r="J70" t="s">
        <v>541</v>
      </c>
      <c r="K70" t="s">
        <v>1075</v>
      </c>
      <c r="L70" t="s">
        <v>1076</v>
      </c>
      <c r="M70" t="s">
        <v>1077</v>
      </c>
      <c r="O70" t="s">
        <v>1078</v>
      </c>
      <c r="P70" t="s">
        <v>1071</v>
      </c>
      <c r="Q70" s="461">
        <v>43521</v>
      </c>
      <c r="R70" s="461">
        <v>43521</v>
      </c>
      <c r="S70" s="461">
        <v>43513</v>
      </c>
      <c r="T70" t="s">
        <v>471</v>
      </c>
    </row>
    <row r="71" spans="1:20" x14ac:dyDescent="0.25">
      <c r="A71" t="s">
        <v>1079</v>
      </c>
      <c r="B71" t="s">
        <v>1080</v>
      </c>
      <c r="C71" t="s">
        <v>1081</v>
      </c>
      <c r="D71" t="s">
        <v>1082</v>
      </c>
      <c r="F71" s="461">
        <v>36392</v>
      </c>
      <c r="H71" t="s">
        <v>476</v>
      </c>
      <c r="J71" t="s">
        <v>541</v>
      </c>
      <c r="K71" t="s">
        <v>1083</v>
      </c>
      <c r="L71" t="s">
        <v>1084</v>
      </c>
      <c r="N71" t="s">
        <v>1085</v>
      </c>
      <c r="O71" t="s">
        <v>1086</v>
      </c>
      <c r="P71" t="s">
        <v>1087</v>
      </c>
      <c r="Q71" s="461">
        <v>43362</v>
      </c>
      <c r="R71" s="461">
        <v>43362</v>
      </c>
      <c r="S71" s="461">
        <v>43360</v>
      </c>
      <c r="T71" t="s">
        <v>471</v>
      </c>
    </row>
    <row r="72" spans="1:20" x14ac:dyDescent="0.25">
      <c r="A72" t="s">
        <v>1088</v>
      </c>
      <c r="B72" t="s">
        <v>1089</v>
      </c>
      <c r="C72" t="s">
        <v>1090</v>
      </c>
      <c r="D72" t="s">
        <v>1091</v>
      </c>
      <c r="F72" s="461">
        <v>35434</v>
      </c>
      <c r="G72">
        <v>873189</v>
      </c>
      <c r="H72" t="s">
        <v>476</v>
      </c>
      <c r="J72" t="s">
        <v>465</v>
      </c>
      <c r="K72" t="s">
        <v>1092</v>
      </c>
      <c r="L72" t="s">
        <v>1093</v>
      </c>
      <c r="M72" t="s">
        <v>1094</v>
      </c>
      <c r="O72" t="s">
        <v>1095</v>
      </c>
      <c r="P72" t="s">
        <v>1096</v>
      </c>
      <c r="Q72" s="461">
        <v>42500</v>
      </c>
      <c r="R72" s="461">
        <v>43034</v>
      </c>
      <c r="S72" s="461"/>
      <c r="T72" t="s">
        <v>471</v>
      </c>
    </row>
    <row r="73" spans="1:20" x14ac:dyDescent="0.25">
      <c r="A73" t="s">
        <v>1097</v>
      </c>
      <c r="B73" t="s">
        <v>1098</v>
      </c>
      <c r="C73" t="s">
        <v>1099</v>
      </c>
      <c r="D73" t="s">
        <v>1100</v>
      </c>
      <c r="F73" s="461">
        <v>33239</v>
      </c>
      <c r="G73">
        <v>684979</v>
      </c>
      <c r="H73" t="s">
        <v>476</v>
      </c>
      <c r="J73" t="s">
        <v>529</v>
      </c>
      <c r="K73" t="s">
        <v>1101</v>
      </c>
      <c r="L73" t="s">
        <v>1102</v>
      </c>
      <c r="M73" t="s">
        <v>1103</v>
      </c>
      <c r="O73" t="s">
        <v>1104</v>
      </c>
      <c r="P73" t="s">
        <v>1105</v>
      </c>
      <c r="Q73" s="461">
        <v>42392</v>
      </c>
      <c r="R73" s="461">
        <v>43034</v>
      </c>
      <c r="S73" s="461"/>
      <c r="T73" t="s">
        <v>471</v>
      </c>
    </row>
    <row r="74" spans="1:20" x14ac:dyDescent="0.25">
      <c r="A74" t="s">
        <v>1106</v>
      </c>
      <c r="B74" t="s">
        <v>1107</v>
      </c>
      <c r="C74" t="s">
        <v>1108</v>
      </c>
      <c r="D74" t="s">
        <v>1109</v>
      </c>
      <c r="F74" s="461">
        <v>35832</v>
      </c>
      <c r="G74">
        <v>1122264</v>
      </c>
      <c r="H74" t="s">
        <v>463</v>
      </c>
      <c r="I74" t="s">
        <v>551</v>
      </c>
      <c r="J74" t="s">
        <v>541</v>
      </c>
      <c r="K74" t="s">
        <v>1110</v>
      </c>
      <c r="L74" t="s">
        <v>1111</v>
      </c>
      <c r="M74" t="s">
        <v>1112</v>
      </c>
      <c r="O74" t="s">
        <v>1113</v>
      </c>
      <c r="P74" t="s">
        <v>1114</v>
      </c>
      <c r="Q74" s="461">
        <v>43195</v>
      </c>
      <c r="R74" s="461">
        <v>43195</v>
      </c>
      <c r="S74" s="461">
        <v>43195</v>
      </c>
      <c r="T74" t="s">
        <v>483</v>
      </c>
    </row>
    <row r="75" spans="1:20" x14ac:dyDescent="0.25">
      <c r="A75" t="s">
        <v>1115</v>
      </c>
      <c r="B75" t="s">
        <v>1116</v>
      </c>
      <c r="C75" t="s">
        <v>1117</v>
      </c>
      <c r="D75" t="s">
        <v>1118</v>
      </c>
      <c r="F75" s="461">
        <v>34962</v>
      </c>
      <c r="G75">
        <v>912320</v>
      </c>
      <c r="H75" t="s">
        <v>476</v>
      </c>
      <c r="J75" t="s">
        <v>541</v>
      </c>
      <c r="K75" t="s">
        <v>1119</v>
      </c>
      <c r="L75" t="s">
        <v>1120</v>
      </c>
      <c r="M75" t="s">
        <v>1121</v>
      </c>
      <c r="O75" t="s">
        <v>1122</v>
      </c>
      <c r="P75" t="s">
        <v>1123</v>
      </c>
      <c r="Q75" s="461">
        <v>42484</v>
      </c>
      <c r="R75" s="461">
        <v>43034</v>
      </c>
      <c r="S75" s="461"/>
      <c r="T75" t="s">
        <v>471</v>
      </c>
    </row>
    <row r="76" spans="1:20" x14ac:dyDescent="0.25">
      <c r="A76" t="s">
        <v>1124</v>
      </c>
      <c r="B76" t="s">
        <v>1125</v>
      </c>
      <c r="C76" t="s">
        <v>1126</v>
      </c>
      <c r="D76" t="s">
        <v>1127</v>
      </c>
      <c r="F76" s="461">
        <v>34948</v>
      </c>
      <c r="G76">
        <v>903011</v>
      </c>
      <c r="H76" t="s">
        <v>476</v>
      </c>
      <c r="J76" t="s">
        <v>465</v>
      </c>
      <c r="K76" t="s">
        <v>1128</v>
      </c>
      <c r="L76" t="s">
        <v>1129</v>
      </c>
      <c r="M76" t="s">
        <v>1130</v>
      </c>
      <c r="O76" t="s">
        <v>1131</v>
      </c>
      <c r="P76" t="s">
        <v>1132</v>
      </c>
      <c r="Q76" s="461">
        <v>42660</v>
      </c>
      <c r="R76" s="461">
        <v>43034</v>
      </c>
      <c r="S76" s="461"/>
      <c r="T76" t="s">
        <v>471</v>
      </c>
    </row>
    <row r="77" spans="1:20" x14ac:dyDescent="0.25">
      <c r="A77" t="s">
        <v>1133</v>
      </c>
      <c r="B77" t="s">
        <v>1134</v>
      </c>
      <c r="C77" t="s">
        <v>1135</v>
      </c>
      <c r="D77" t="s">
        <v>1136</v>
      </c>
      <c r="F77" s="461">
        <v>35289</v>
      </c>
      <c r="G77">
        <v>931726</v>
      </c>
      <c r="H77" t="s">
        <v>463</v>
      </c>
      <c r="I77" t="s">
        <v>551</v>
      </c>
      <c r="J77" t="s">
        <v>541</v>
      </c>
      <c r="K77" t="s">
        <v>1137</v>
      </c>
      <c r="L77" t="s">
        <v>1138</v>
      </c>
      <c r="M77" t="s">
        <v>1139</v>
      </c>
      <c r="O77" t="s">
        <v>1140</v>
      </c>
      <c r="P77" t="s">
        <v>1141</v>
      </c>
      <c r="Q77" s="461">
        <v>43898</v>
      </c>
      <c r="R77" s="461">
        <v>43898</v>
      </c>
      <c r="S77" s="461">
        <v>43895</v>
      </c>
      <c r="T77" t="s">
        <v>471</v>
      </c>
    </row>
    <row r="78" spans="1:20" x14ac:dyDescent="0.25">
      <c r="A78" t="s">
        <v>1142</v>
      </c>
      <c r="B78" t="s">
        <v>1143</v>
      </c>
      <c r="C78" t="s">
        <v>1144</v>
      </c>
      <c r="D78" t="s">
        <v>1145</v>
      </c>
      <c r="F78" s="461">
        <v>34584</v>
      </c>
      <c r="G78">
        <v>834183</v>
      </c>
      <c r="H78" t="s">
        <v>463</v>
      </c>
      <c r="I78" t="s">
        <v>551</v>
      </c>
      <c r="J78" t="s">
        <v>541</v>
      </c>
      <c r="K78" t="s">
        <v>1146</v>
      </c>
      <c r="L78" t="s">
        <v>1147</v>
      </c>
      <c r="M78" t="s">
        <v>1148</v>
      </c>
      <c r="O78" t="s">
        <v>1149</v>
      </c>
      <c r="P78" t="s">
        <v>1150</v>
      </c>
      <c r="Q78" s="461">
        <v>42504</v>
      </c>
      <c r="R78" s="461">
        <v>43034</v>
      </c>
      <c r="S78" s="461">
        <v>42504</v>
      </c>
      <c r="T78" t="s">
        <v>471</v>
      </c>
    </row>
    <row r="79" spans="1:20" x14ac:dyDescent="0.25">
      <c r="A79" t="s">
        <v>1151</v>
      </c>
      <c r="B79" t="s">
        <v>1152</v>
      </c>
      <c r="C79" t="s">
        <v>1144</v>
      </c>
      <c r="D79" t="s">
        <v>1153</v>
      </c>
      <c r="F79" s="461">
        <v>35731</v>
      </c>
      <c r="G79">
        <v>1066341</v>
      </c>
      <c r="H79" t="s">
        <v>463</v>
      </c>
      <c r="I79" t="s">
        <v>685</v>
      </c>
      <c r="J79" t="s">
        <v>541</v>
      </c>
      <c r="K79" t="s">
        <v>1154</v>
      </c>
      <c r="L79" t="s">
        <v>1155</v>
      </c>
      <c r="M79" t="s">
        <v>1156</v>
      </c>
      <c r="O79" t="s">
        <v>1157</v>
      </c>
      <c r="P79" t="s">
        <v>1150</v>
      </c>
      <c r="Q79" s="461">
        <v>44592</v>
      </c>
      <c r="R79" s="461">
        <v>44592</v>
      </c>
      <c r="S79" s="461">
        <v>44591</v>
      </c>
      <c r="T79" t="s">
        <v>471</v>
      </c>
    </row>
    <row r="80" spans="1:20" x14ac:dyDescent="0.25">
      <c r="A80" t="s">
        <v>1158</v>
      </c>
      <c r="B80" t="s">
        <v>1159</v>
      </c>
      <c r="C80" t="s">
        <v>1160</v>
      </c>
      <c r="D80" t="s">
        <v>1161</v>
      </c>
      <c r="F80" s="461">
        <v>33917</v>
      </c>
      <c r="G80">
        <v>415867</v>
      </c>
      <c r="H80" t="s">
        <v>476</v>
      </c>
      <c r="I80" t="s">
        <v>1162</v>
      </c>
      <c r="J80" t="s">
        <v>541</v>
      </c>
      <c r="K80" t="s">
        <v>1163</v>
      </c>
      <c r="L80" t="s">
        <v>1164</v>
      </c>
      <c r="M80" t="s">
        <v>1165</v>
      </c>
      <c r="O80" t="s">
        <v>1166</v>
      </c>
      <c r="P80" t="s">
        <v>1167</v>
      </c>
      <c r="Q80" s="461">
        <v>43118</v>
      </c>
      <c r="R80" s="461">
        <v>43118</v>
      </c>
      <c r="S80" s="461"/>
      <c r="T80" t="s">
        <v>471</v>
      </c>
    </row>
    <row r="81" spans="1:20" x14ac:dyDescent="0.25">
      <c r="A81" t="s">
        <v>1168</v>
      </c>
      <c r="B81" t="s">
        <v>1169</v>
      </c>
      <c r="C81" t="s">
        <v>1144</v>
      </c>
      <c r="D81" t="s">
        <v>1170</v>
      </c>
      <c r="F81" s="461">
        <v>34843</v>
      </c>
      <c r="G81">
        <v>924602</v>
      </c>
      <c r="H81" t="s">
        <v>476</v>
      </c>
      <c r="J81" t="s">
        <v>541</v>
      </c>
      <c r="K81" t="s">
        <v>1171</v>
      </c>
      <c r="L81" t="s">
        <v>1172</v>
      </c>
      <c r="M81" t="s">
        <v>1173</v>
      </c>
      <c r="O81" t="s">
        <v>1174</v>
      </c>
      <c r="P81" t="s">
        <v>1150</v>
      </c>
      <c r="Q81" s="461">
        <v>43412</v>
      </c>
      <c r="R81" s="461">
        <v>43412</v>
      </c>
      <c r="S81" s="461"/>
      <c r="T81" t="s">
        <v>471</v>
      </c>
    </row>
    <row r="82" spans="1:20" x14ac:dyDescent="0.25">
      <c r="A82" t="s">
        <v>1175</v>
      </c>
      <c r="B82" t="s">
        <v>1176</v>
      </c>
      <c r="C82" t="s">
        <v>1177</v>
      </c>
      <c r="D82" t="s">
        <v>1178</v>
      </c>
      <c r="F82" s="461">
        <v>34235</v>
      </c>
      <c r="G82">
        <v>668512</v>
      </c>
      <c r="H82" t="s">
        <v>476</v>
      </c>
      <c r="I82" t="s">
        <v>488</v>
      </c>
      <c r="J82" t="s">
        <v>465</v>
      </c>
      <c r="K82" t="s">
        <v>1179</v>
      </c>
      <c r="L82" t="s">
        <v>1180</v>
      </c>
      <c r="M82" t="s">
        <v>1181</v>
      </c>
      <c r="O82" t="s">
        <v>1182</v>
      </c>
      <c r="P82" t="s">
        <v>1183</v>
      </c>
      <c r="Q82" s="461">
        <v>41933</v>
      </c>
      <c r="R82" s="461">
        <v>41933</v>
      </c>
      <c r="S82" s="461">
        <v>41924</v>
      </c>
      <c r="T82" t="s">
        <v>471</v>
      </c>
    </row>
    <row r="83" spans="1:20" x14ac:dyDescent="0.25">
      <c r="A83" t="s">
        <v>1184</v>
      </c>
      <c r="B83" t="s">
        <v>1185</v>
      </c>
      <c r="C83" t="s">
        <v>1186</v>
      </c>
      <c r="D83" t="s">
        <v>1187</v>
      </c>
      <c r="F83" s="461">
        <v>31386</v>
      </c>
      <c r="H83" t="s">
        <v>527</v>
      </c>
      <c r="I83" t="s">
        <v>464</v>
      </c>
      <c r="J83" t="s">
        <v>497</v>
      </c>
      <c r="K83" t="s">
        <v>1188</v>
      </c>
      <c r="L83" t="s">
        <v>1189</v>
      </c>
      <c r="M83" t="s">
        <v>1190</v>
      </c>
      <c r="N83" t="s">
        <v>1191</v>
      </c>
      <c r="O83" t="s">
        <v>1192</v>
      </c>
      <c r="P83" t="s">
        <v>1193</v>
      </c>
      <c r="Q83" s="461">
        <v>42016</v>
      </c>
      <c r="R83" s="461">
        <v>42016</v>
      </c>
      <c r="S83" s="461">
        <v>43500</v>
      </c>
      <c r="T83" t="s">
        <v>471</v>
      </c>
    </row>
    <row r="84" spans="1:20" x14ac:dyDescent="0.25">
      <c r="A84" t="s">
        <v>1194</v>
      </c>
      <c r="B84" t="s">
        <v>1195</v>
      </c>
      <c r="C84" t="s">
        <v>1196</v>
      </c>
      <c r="D84" t="s">
        <v>1197</v>
      </c>
      <c r="F84" s="461">
        <v>34816</v>
      </c>
      <c r="G84">
        <v>1119488</v>
      </c>
      <c r="H84" t="s">
        <v>463</v>
      </c>
      <c r="I84" t="s">
        <v>846</v>
      </c>
      <c r="J84" t="s">
        <v>465</v>
      </c>
      <c r="K84" t="s">
        <v>1198</v>
      </c>
      <c r="L84" t="s">
        <v>1199</v>
      </c>
      <c r="M84" t="s">
        <v>1200</v>
      </c>
      <c r="O84" t="s">
        <v>1201</v>
      </c>
      <c r="P84" t="s">
        <v>1202</v>
      </c>
      <c r="Q84" s="461">
        <v>43412</v>
      </c>
      <c r="R84" s="461">
        <v>43412</v>
      </c>
      <c r="S84" s="461">
        <v>43420</v>
      </c>
      <c r="T84" t="s">
        <v>483</v>
      </c>
    </row>
    <row r="85" spans="1:20" x14ac:dyDescent="0.25">
      <c r="A85" t="s">
        <v>1203</v>
      </c>
      <c r="B85" t="s">
        <v>1204</v>
      </c>
      <c r="C85" t="s">
        <v>1196</v>
      </c>
      <c r="D85" t="s">
        <v>1205</v>
      </c>
      <c r="F85" s="461">
        <v>33489</v>
      </c>
      <c r="H85" t="s">
        <v>463</v>
      </c>
      <c r="I85" t="s">
        <v>685</v>
      </c>
      <c r="J85" t="s">
        <v>465</v>
      </c>
      <c r="K85" t="s">
        <v>1206</v>
      </c>
      <c r="L85" t="s">
        <v>1207</v>
      </c>
      <c r="M85" t="s">
        <v>1208</v>
      </c>
      <c r="O85" t="s">
        <v>1209</v>
      </c>
      <c r="P85" t="s">
        <v>1202</v>
      </c>
      <c r="Q85" s="461">
        <v>43510</v>
      </c>
      <c r="R85" s="461">
        <v>43510</v>
      </c>
      <c r="S85" s="461">
        <v>43508</v>
      </c>
      <c r="T85" t="s">
        <v>471</v>
      </c>
    </row>
    <row r="86" spans="1:20" x14ac:dyDescent="0.25">
      <c r="A86" t="s">
        <v>1210</v>
      </c>
      <c r="B86" t="s">
        <v>1211</v>
      </c>
      <c r="C86" t="s">
        <v>1212</v>
      </c>
      <c r="D86" t="s">
        <v>1213</v>
      </c>
      <c r="F86" s="461">
        <v>30910</v>
      </c>
      <c r="H86" t="s">
        <v>463</v>
      </c>
      <c r="I86" t="s">
        <v>694</v>
      </c>
      <c r="J86" t="s">
        <v>465</v>
      </c>
      <c r="K86" t="s">
        <v>1214</v>
      </c>
      <c r="L86" t="s">
        <v>1215</v>
      </c>
      <c r="M86" t="s">
        <v>1216</v>
      </c>
      <c r="O86" t="s">
        <v>1217</v>
      </c>
      <c r="P86" t="s">
        <v>1218</v>
      </c>
      <c r="Q86" s="461">
        <v>42030</v>
      </c>
      <c r="R86" s="461">
        <v>42030</v>
      </c>
      <c r="S86" s="461">
        <v>42030</v>
      </c>
      <c r="T86" t="s">
        <v>471</v>
      </c>
    </row>
    <row r="87" spans="1:20" x14ac:dyDescent="0.25">
      <c r="A87" t="s">
        <v>1219</v>
      </c>
      <c r="B87" t="s">
        <v>1220</v>
      </c>
      <c r="C87" t="s">
        <v>1221</v>
      </c>
      <c r="D87" t="s">
        <v>1222</v>
      </c>
      <c r="F87" s="461">
        <v>31592</v>
      </c>
      <c r="G87">
        <v>1</v>
      </c>
      <c r="H87" t="s">
        <v>476</v>
      </c>
      <c r="J87" t="s">
        <v>529</v>
      </c>
      <c r="K87" t="s">
        <v>1223</v>
      </c>
      <c r="L87" t="s">
        <v>1224</v>
      </c>
      <c r="M87" t="s">
        <v>1225</v>
      </c>
      <c r="O87" t="s">
        <v>1226</v>
      </c>
      <c r="P87" t="s">
        <v>1227</v>
      </c>
      <c r="Q87" s="461">
        <v>43426</v>
      </c>
      <c r="R87" s="461">
        <v>43426</v>
      </c>
      <c r="S87" s="461"/>
      <c r="T87" t="s">
        <v>483</v>
      </c>
    </row>
    <row r="88" spans="1:20" x14ac:dyDescent="0.25">
      <c r="A88" t="s">
        <v>1228</v>
      </c>
      <c r="B88" t="s">
        <v>1229</v>
      </c>
      <c r="C88" t="s">
        <v>1230</v>
      </c>
      <c r="D88" t="s">
        <v>1231</v>
      </c>
      <c r="E88" t="s">
        <v>1232</v>
      </c>
      <c r="F88" s="461">
        <v>34123</v>
      </c>
      <c r="G88">
        <v>901016</v>
      </c>
      <c r="H88" t="s">
        <v>463</v>
      </c>
      <c r="I88" t="s">
        <v>685</v>
      </c>
      <c r="J88" t="s">
        <v>541</v>
      </c>
      <c r="K88" t="s">
        <v>1233</v>
      </c>
      <c r="L88" t="s">
        <v>1234</v>
      </c>
      <c r="M88" t="s">
        <v>1235</v>
      </c>
      <c r="O88" t="s">
        <v>1236</v>
      </c>
      <c r="P88" t="s">
        <v>1237</v>
      </c>
      <c r="Q88" s="461">
        <v>44973</v>
      </c>
      <c r="R88" s="461">
        <v>44973</v>
      </c>
      <c r="S88" s="461">
        <v>44973</v>
      </c>
      <c r="T88" t="s">
        <v>471</v>
      </c>
    </row>
    <row r="89" spans="1:20" x14ac:dyDescent="0.25">
      <c r="A89" t="s">
        <v>1238</v>
      </c>
      <c r="B89" t="s">
        <v>1239</v>
      </c>
      <c r="C89" t="s">
        <v>1240</v>
      </c>
      <c r="D89" t="s">
        <v>1241</v>
      </c>
      <c r="F89" s="461">
        <v>35304</v>
      </c>
      <c r="G89">
        <v>1162182</v>
      </c>
      <c r="H89" t="s">
        <v>476</v>
      </c>
      <c r="J89" t="s">
        <v>465</v>
      </c>
      <c r="K89" t="s">
        <v>1242</v>
      </c>
      <c r="L89" t="s">
        <v>1243</v>
      </c>
      <c r="M89" t="s">
        <v>1244</v>
      </c>
      <c r="O89" t="s">
        <v>1245</v>
      </c>
      <c r="P89" t="s">
        <v>1246</v>
      </c>
      <c r="Q89" s="461">
        <v>44585</v>
      </c>
      <c r="R89" s="461">
        <v>44585</v>
      </c>
      <c r="S89" s="461">
        <v>44581</v>
      </c>
      <c r="T89" t="s">
        <v>471</v>
      </c>
    </row>
    <row r="90" spans="1:20" x14ac:dyDescent="0.25">
      <c r="A90" t="s">
        <v>1247</v>
      </c>
      <c r="B90" t="s">
        <v>1248</v>
      </c>
      <c r="C90" t="s">
        <v>1249</v>
      </c>
      <c r="D90" t="s">
        <v>1250</v>
      </c>
      <c r="F90" s="461">
        <v>29598</v>
      </c>
      <c r="H90" t="s">
        <v>463</v>
      </c>
      <c r="I90" t="s">
        <v>694</v>
      </c>
      <c r="J90" t="s">
        <v>529</v>
      </c>
      <c r="K90" t="s">
        <v>1251</v>
      </c>
      <c r="L90" t="s">
        <v>1252</v>
      </c>
      <c r="N90" t="s">
        <v>1253</v>
      </c>
      <c r="O90" t="s">
        <v>1254</v>
      </c>
      <c r="P90" t="s">
        <v>1255</v>
      </c>
      <c r="Q90" s="461">
        <v>42040</v>
      </c>
      <c r="R90" s="461">
        <v>42040</v>
      </c>
      <c r="S90" s="461">
        <v>42040</v>
      </c>
      <c r="T90" t="s">
        <v>471</v>
      </c>
    </row>
    <row r="91" spans="1:20" x14ac:dyDescent="0.25">
      <c r="A91" t="s">
        <v>1256</v>
      </c>
      <c r="B91" t="s">
        <v>1257</v>
      </c>
      <c r="C91" t="s">
        <v>1258</v>
      </c>
      <c r="D91" t="s">
        <v>1259</v>
      </c>
      <c r="F91" s="461">
        <v>35811</v>
      </c>
      <c r="H91" t="s">
        <v>1260</v>
      </c>
      <c r="J91" t="s">
        <v>465</v>
      </c>
      <c r="K91" t="s">
        <v>1261</v>
      </c>
      <c r="L91" t="s">
        <v>1262</v>
      </c>
      <c r="M91" t="s">
        <v>1263</v>
      </c>
      <c r="O91" t="s">
        <v>1264</v>
      </c>
      <c r="P91" t="s">
        <v>1265</v>
      </c>
      <c r="Q91" s="461">
        <v>42469</v>
      </c>
      <c r="R91" s="461">
        <v>43034</v>
      </c>
      <c r="S91" s="461">
        <v>42469</v>
      </c>
      <c r="T91" t="s">
        <v>483</v>
      </c>
    </row>
    <row r="92" spans="1:20" x14ac:dyDescent="0.25">
      <c r="A92" t="s">
        <v>1266</v>
      </c>
      <c r="B92" t="s">
        <v>1267</v>
      </c>
      <c r="C92" t="s">
        <v>1268</v>
      </c>
      <c r="D92" t="s">
        <v>1269</v>
      </c>
      <c r="F92" s="461">
        <v>34872</v>
      </c>
      <c r="G92">
        <v>891935</v>
      </c>
      <c r="H92" t="s">
        <v>476</v>
      </c>
      <c r="K92" t="s">
        <v>1270</v>
      </c>
      <c r="L92" t="s">
        <v>1271</v>
      </c>
      <c r="M92" t="s">
        <v>1272</v>
      </c>
      <c r="O92" t="s">
        <v>1273</v>
      </c>
      <c r="P92" t="s">
        <v>1274</v>
      </c>
      <c r="Q92" s="461">
        <v>42254</v>
      </c>
      <c r="R92" s="461">
        <v>42327</v>
      </c>
      <c r="S92" s="461">
        <v>42250</v>
      </c>
      <c r="T92" t="s">
        <v>471</v>
      </c>
    </row>
    <row r="93" spans="1:20" x14ac:dyDescent="0.25">
      <c r="A93" t="s">
        <v>1275</v>
      </c>
      <c r="B93" t="s">
        <v>1276</v>
      </c>
      <c r="C93" t="s">
        <v>1277</v>
      </c>
      <c r="D93" t="s">
        <v>1278</v>
      </c>
      <c r="F93" s="461">
        <v>22192</v>
      </c>
      <c r="H93" t="s">
        <v>463</v>
      </c>
      <c r="I93" t="s">
        <v>694</v>
      </c>
      <c r="J93" t="s">
        <v>541</v>
      </c>
      <c r="K93" t="s">
        <v>1279</v>
      </c>
      <c r="L93" t="s">
        <v>1280</v>
      </c>
      <c r="M93" t="s">
        <v>1281</v>
      </c>
      <c r="O93" t="s">
        <v>1282</v>
      </c>
      <c r="P93" t="s">
        <v>1283</v>
      </c>
      <c r="Q93" s="461">
        <v>44812</v>
      </c>
      <c r="R93" s="461">
        <v>44812</v>
      </c>
      <c r="S93" s="461">
        <v>44810</v>
      </c>
      <c r="T93" t="s">
        <v>483</v>
      </c>
    </row>
    <row r="94" spans="1:20" x14ac:dyDescent="0.25">
      <c r="A94" t="s">
        <v>1284</v>
      </c>
      <c r="B94" t="s">
        <v>1285</v>
      </c>
      <c r="C94" t="s">
        <v>1268</v>
      </c>
      <c r="D94" t="s">
        <v>1286</v>
      </c>
      <c r="F94" s="461">
        <v>30098</v>
      </c>
      <c r="H94" t="s">
        <v>108</v>
      </c>
      <c r="I94" t="s">
        <v>836</v>
      </c>
      <c r="J94" t="s">
        <v>497</v>
      </c>
      <c r="K94" t="s">
        <v>1287</v>
      </c>
      <c r="L94" t="s">
        <v>1288</v>
      </c>
      <c r="M94" t="s">
        <v>1289</v>
      </c>
      <c r="O94" t="s">
        <v>1290</v>
      </c>
      <c r="P94" t="s">
        <v>1274</v>
      </c>
      <c r="Q94" s="461">
        <v>44802</v>
      </c>
      <c r="R94" s="461">
        <v>44802</v>
      </c>
      <c r="S94" s="461">
        <v>44800</v>
      </c>
      <c r="T94" t="s">
        <v>471</v>
      </c>
    </row>
    <row r="95" spans="1:20" x14ac:dyDescent="0.25">
      <c r="A95" t="s">
        <v>1291</v>
      </c>
      <c r="B95" t="s">
        <v>1292</v>
      </c>
      <c r="C95" t="s">
        <v>1293</v>
      </c>
      <c r="D95" t="s">
        <v>1294</v>
      </c>
      <c r="F95" s="461">
        <v>29843</v>
      </c>
      <c r="H95" t="s">
        <v>527</v>
      </c>
      <c r="I95" t="s">
        <v>496</v>
      </c>
      <c r="J95" t="s">
        <v>541</v>
      </c>
      <c r="K95" t="s">
        <v>1295</v>
      </c>
      <c r="L95" t="s">
        <v>1296</v>
      </c>
      <c r="M95" t="s">
        <v>1297</v>
      </c>
      <c r="O95" t="s">
        <v>1298</v>
      </c>
      <c r="P95" t="s">
        <v>1299</v>
      </c>
      <c r="Q95" s="461">
        <v>44863</v>
      </c>
      <c r="R95" s="461">
        <v>44863</v>
      </c>
      <c r="S95" s="461">
        <v>44861</v>
      </c>
      <c r="T95" t="s">
        <v>483</v>
      </c>
    </row>
    <row r="96" spans="1:20" x14ac:dyDescent="0.25">
      <c r="A96" t="s">
        <v>1300</v>
      </c>
      <c r="B96" t="s">
        <v>1301</v>
      </c>
      <c r="C96" t="s">
        <v>1302</v>
      </c>
      <c r="D96" t="s">
        <v>1303</v>
      </c>
      <c r="F96" s="461">
        <v>38222</v>
      </c>
      <c r="H96" t="s">
        <v>981</v>
      </c>
      <c r="J96" t="s">
        <v>541</v>
      </c>
      <c r="K96" t="s">
        <v>1304</v>
      </c>
      <c r="L96" t="s">
        <v>1305</v>
      </c>
      <c r="M96" t="s">
        <v>1306</v>
      </c>
      <c r="O96" t="s">
        <v>1307</v>
      </c>
      <c r="P96" t="s">
        <v>1308</v>
      </c>
      <c r="Q96" s="461">
        <v>44612</v>
      </c>
      <c r="R96" s="461">
        <v>44612</v>
      </c>
      <c r="S96" s="461">
        <v>44607</v>
      </c>
      <c r="T96" t="s">
        <v>483</v>
      </c>
    </row>
    <row r="97" spans="1:20" x14ac:dyDescent="0.25">
      <c r="A97" t="s">
        <v>1309</v>
      </c>
      <c r="B97" t="s">
        <v>1310</v>
      </c>
      <c r="C97" t="s">
        <v>1311</v>
      </c>
      <c r="D97" t="s">
        <v>1312</v>
      </c>
      <c r="F97" s="461">
        <v>36077</v>
      </c>
      <c r="G97">
        <v>1435845</v>
      </c>
      <c r="H97" t="s">
        <v>476</v>
      </c>
      <c r="J97" t="s">
        <v>541</v>
      </c>
      <c r="K97" t="s">
        <v>1313</v>
      </c>
      <c r="L97" t="s">
        <v>1314</v>
      </c>
      <c r="M97" t="s">
        <v>1315</v>
      </c>
      <c r="O97" t="s">
        <v>1316</v>
      </c>
      <c r="P97" t="s">
        <v>1317</v>
      </c>
      <c r="Q97" s="461">
        <v>43344</v>
      </c>
      <c r="R97" s="461">
        <v>43344</v>
      </c>
      <c r="S97" s="461">
        <v>43344</v>
      </c>
      <c r="T97" t="s">
        <v>483</v>
      </c>
    </row>
    <row r="98" spans="1:20" x14ac:dyDescent="0.25">
      <c r="A98" t="s">
        <v>1318</v>
      </c>
      <c r="B98" t="s">
        <v>1319</v>
      </c>
      <c r="C98" t="s">
        <v>1320</v>
      </c>
      <c r="D98" t="s">
        <v>1321</v>
      </c>
      <c r="F98" s="461">
        <v>38232</v>
      </c>
      <c r="H98" t="s">
        <v>981</v>
      </c>
      <c r="I98" t="s">
        <v>551</v>
      </c>
      <c r="J98" t="s">
        <v>529</v>
      </c>
      <c r="K98" t="s">
        <v>1322</v>
      </c>
      <c r="L98" t="s">
        <v>1323</v>
      </c>
      <c r="M98" t="s">
        <v>1324</v>
      </c>
      <c r="O98" t="s">
        <v>1325</v>
      </c>
      <c r="P98" t="s">
        <v>1326</v>
      </c>
      <c r="Q98" s="461">
        <v>44546</v>
      </c>
      <c r="R98" s="461">
        <v>44546</v>
      </c>
      <c r="S98" s="461">
        <v>44545</v>
      </c>
      <c r="T98" t="s">
        <v>471</v>
      </c>
    </row>
    <row r="99" spans="1:20" x14ac:dyDescent="0.25">
      <c r="A99" t="s">
        <v>444</v>
      </c>
      <c r="B99" t="s">
        <v>1327</v>
      </c>
      <c r="C99" t="s">
        <v>1328</v>
      </c>
      <c r="D99" t="s">
        <v>1329</v>
      </c>
      <c r="E99" t="s">
        <v>1330</v>
      </c>
      <c r="F99" s="461">
        <v>18547</v>
      </c>
      <c r="H99" t="s">
        <v>729</v>
      </c>
      <c r="I99" t="s">
        <v>675</v>
      </c>
      <c r="J99" t="s">
        <v>497</v>
      </c>
      <c r="K99" t="s">
        <v>1331</v>
      </c>
      <c r="L99" t="s">
        <v>1332</v>
      </c>
      <c r="M99" t="s">
        <v>1333</v>
      </c>
      <c r="O99" t="s">
        <v>1334</v>
      </c>
      <c r="P99" t="s">
        <v>1335</v>
      </c>
      <c r="Q99" s="461">
        <v>44963</v>
      </c>
      <c r="R99" s="461">
        <v>44963</v>
      </c>
      <c r="S99" s="461">
        <v>44959</v>
      </c>
      <c r="T99" t="s">
        <v>471</v>
      </c>
    </row>
    <row r="100" spans="1:20" x14ac:dyDescent="0.25">
      <c r="A100" t="s">
        <v>1336</v>
      </c>
      <c r="B100" t="s">
        <v>1337</v>
      </c>
      <c r="C100" t="s">
        <v>1338</v>
      </c>
      <c r="D100" t="s">
        <v>1339</v>
      </c>
      <c r="F100" s="461">
        <v>34041</v>
      </c>
      <c r="H100" t="s">
        <v>527</v>
      </c>
      <c r="I100" t="s">
        <v>631</v>
      </c>
      <c r="J100" t="s">
        <v>541</v>
      </c>
      <c r="K100" t="s">
        <v>1340</v>
      </c>
      <c r="L100" t="s">
        <v>1341</v>
      </c>
      <c r="M100" t="s">
        <v>1342</v>
      </c>
      <c r="O100" t="s">
        <v>1343</v>
      </c>
      <c r="P100" t="s">
        <v>1344</v>
      </c>
      <c r="Q100" s="461">
        <v>44914</v>
      </c>
      <c r="R100" s="461">
        <v>44914</v>
      </c>
      <c r="S100" s="461">
        <v>44911</v>
      </c>
      <c r="T100" t="s">
        <v>471</v>
      </c>
    </row>
    <row r="101" spans="1:20" x14ac:dyDescent="0.25">
      <c r="A101" t="s">
        <v>1345</v>
      </c>
      <c r="B101" t="s">
        <v>1346</v>
      </c>
      <c r="C101" t="s">
        <v>1347</v>
      </c>
      <c r="D101" t="s">
        <v>1348</v>
      </c>
      <c r="F101" s="461">
        <v>37875</v>
      </c>
      <c r="H101" t="s">
        <v>463</v>
      </c>
      <c r="I101" t="s">
        <v>846</v>
      </c>
      <c r="J101" t="s">
        <v>465</v>
      </c>
      <c r="K101" t="s">
        <v>1349</v>
      </c>
      <c r="L101" t="s">
        <v>1350</v>
      </c>
      <c r="M101" t="s">
        <v>1351</v>
      </c>
      <c r="O101" t="s">
        <v>1352</v>
      </c>
      <c r="P101" t="s">
        <v>1353</v>
      </c>
      <c r="Q101" s="461">
        <v>44612</v>
      </c>
      <c r="R101" s="461">
        <v>44612</v>
      </c>
      <c r="S101" s="461">
        <v>44603</v>
      </c>
      <c r="T101" t="s">
        <v>471</v>
      </c>
    </row>
    <row r="102" spans="1:20" x14ac:dyDescent="0.25">
      <c r="A102" t="s">
        <v>1354</v>
      </c>
      <c r="B102" t="s">
        <v>1355</v>
      </c>
      <c r="C102" t="s">
        <v>1356</v>
      </c>
      <c r="D102" t="s">
        <v>1357</v>
      </c>
      <c r="F102" s="461">
        <v>37950</v>
      </c>
      <c r="H102" t="s">
        <v>463</v>
      </c>
      <c r="I102" t="s">
        <v>694</v>
      </c>
      <c r="J102" t="s">
        <v>465</v>
      </c>
      <c r="K102" t="s">
        <v>1358</v>
      </c>
      <c r="L102" t="s">
        <v>1359</v>
      </c>
      <c r="M102" t="s">
        <v>1360</v>
      </c>
      <c r="O102" t="s">
        <v>1361</v>
      </c>
      <c r="P102" t="s">
        <v>1362</v>
      </c>
      <c r="Q102" s="461">
        <v>42786</v>
      </c>
      <c r="R102" s="461">
        <v>43034</v>
      </c>
      <c r="S102" s="461">
        <v>42786</v>
      </c>
      <c r="T102" t="s">
        <v>471</v>
      </c>
    </row>
    <row r="103" spans="1:20" x14ac:dyDescent="0.25">
      <c r="A103" t="s">
        <v>1363</v>
      </c>
      <c r="B103" t="s">
        <v>1364</v>
      </c>
      <c r="C103" t="s">
        <v>1365</v>
      </c>
      <c r="D103" t="s">
        <v>1366</v>
      </c>
      <c r="F103" s="461">
        <v>31976</v>
      </c>
      <c r="H103" t="s">
        <v>527</v>
      </c>
      <c r="I103" t="s">
        <v>1367</v>
      </c>
      <c r="J103" t="s">
        <v>465</v>
      </c>
      <c r="K103" t="s">
        <v>1368</v>
      </c>
      <c r="L103" t="s">
        <v>518</v>
      </c>
      <c r="M103" t="s">
        <v>1369</v>
      </c>
      <c r="N103" t="s">
        <v>1370</v>
      </c>
      <c r="O103" t="s">
        <v>1371</v>
      </c>
      <c r="P103" t="s">
        <v>1372</v>
      </c>
      <c r="Q103" s="461">
        <v>43188</v>
      </c>
      <c r="R103" s="461">
        <v>43188</v>
      </c>
      <c r="S103" s="461">
        <v>43187</v>
      </c>
      <c r="T103" t="s">
        <v>471</v>
      </c>
    </row>
    <row r="104" spans="1:20" x14ac:dyDescent="0.25">
      <c r="A104" t="s">
        <v>1373</v>
      </c>
      <c r="B104" t="s">
        <v>1374</v>
      </c>
      <c r="C104" t="s">
        <v>1375</v>
      </c>
      <c r="D104" t="s">
        <v>1376</v>
      </c>
      <c r="F104" s="461">
        <v>35770</v>
      </c>
      <c r="H104" t="s">
        <v>463</v>
      </c>
      <c r="I104" t="s">
        <v>631</v>
      </c>
      <c r="J104" t="s">
        <v>541</v>
      </c>
      <c r="K104" t="s">
        <v>1377</v>
      </c>
      <c r="L104" t="s">
        <v>1378</v>
      </c>
      <c r="M104" t="s">
        <v>1379</v>
      </c>
      <c r="O104" t="s">
        <v>1380</v>
      </c>
      <c r="P104" t="s">
        <v>1381</v>
      </c>
      <c r="Q104" s="461">
        <v>44942</v>
      </c>
      <c r="R104" s="461">
        <v>44942</v>
      </c>
      <c r="S104" s="461">
        <v>44937</v>
      </c>
      <c r="T104" t="s">
        <v>483</v>
      </c>
    </row>
    <row r="105" spans="1:20" x14ac:dyDescent="0.25">
      <c r="A105" t="s">
        <v>1382</v>
      </c>
      <c r="B105" t="s">
        <v>1383</v>
      </c>
      <c r="C105" t="s">
        <v>1384</v>
      </c>
      <c r="D105" t="s">
        <v>1385</v>
      </c>
      <c r="F105" s="461">
        <v>35621</v>
      </c>
      <c r="H105" t="s">
        <v>463</v>
      </c>
      <c r="I105" t="s">
        <v>551</v>
      </c>
      <c r="J105" t="s">
        <v>541</v>
      </c>
      <c r="K105" t="s">
        <v>1386</v>
      </c>
      <c r="L105" t="s">
        <v>1387</v>
      </c>
      <c r="M105" t="s">
        <v>1388</v>
      </c>
      <c r="O105" t="s">
        <v>1389</v>
      </c>
      <c r="P105" t="s">
        <v>1390</v>
      </c>
      <c r="Q105" s="461">
        <v>43259</v>
      </c>
      <c r="R105" s="461">
        <v>43259</v>
      </c>
      <c r="S105" s="461">
        <v>43258</v>
      </c>
      <c r="T105" t="s">
        <v>471</v>
      </c>
    </row>
    <row r="106" spans="1:20" x14ac:dyDescent="0.25">
      <c r="A106" t="s">
        <v>1391</v>
      </c>
      <c r="B106" t="s">
        <v>1392</v>
      </c>
      <c r="C106" t="s">
        <v>1393</v>
      </c>
      <c r="D106" t="s">
        <v>1394</v>
      </c>
      <c r="F106" s="461">
        <v>27039</v>
      </c>
      <c r="H106" t="s">
        <v>463</v>
      </c>
      <c r="I106" t="s">
        <v>685</v>
      </c>
      <c r="J106" t="s">
        <v>465</v>
      </c>
      <c r="K106" t="s">
        <v>1395</v>
      </c>
      <c r="L106" t="s">
        <v>1396</v>
      </c>
      <c r="M106" t="s">
        <v>1397</v>
      </c>
      <c r="O106" t="s">
        <v>1398</v>
      </c>
      <c r="P106" t="s">
        <v>1399</v>
      </c>
      <c r="Q106" s="461">
        <v>42038</v>
      </c>
      <c r="R106" s="461">
        <v>42038</v>
      </c>
      <c r="S106" s="461">
        <v>42037</v>
      </c>
      <c r="T106" t="s">
        <v>471</v>
      </c>
    </row>
    <row r="107" spans="1:20" x14ac:dyDescent="0.25">
      <c r="A107" t="s">
        <v>1400</v>
      </c>
      <c r="B107" t="s">
        <v>1401</v>
      </c>
      <c r="C107" t="s">
        <v>1402</v>
      </c>
      <c r="D107" t="s">
        <v>1403</v>
      </c>
      <c r="F107" s="461">
        <v>32439</v>
      </c>
      <c r="H107" t="s">
        <v>729</v>
      </c>
      <c r="I107" t="s">
        <v>496</v>
      </c>
      <c r="J107" t="s">
        <v>497</v>
      </c>
      <c r="K107" t="s">
        <v>1404</v>
      </c>
      <c r="L107" t="s">
        <v>1405</v>
      </c>
      <c r="M107" t="s">
        <v>1406</v>
      </c>
      <c r="O107" t="s">
        <v>1407</v>
      </c>
      <c r="P107" t="s">
        <v>1408</v>
      </c>
      <c r="Q107" s="461">
        <v>43483</v>
      </c>
      <c r="R107" s="461">
        <v>43483</v>
      </c>
      <c r="S107" s="461">
        <v>43482</v>
      </c>
      <c r="T107" t="s">
        <v>471</v>
      </c>
    </row>
    <row r="108" spans="1:20" x14ac:dyDescent="0.25">
      <c r="A108" t="s">
        <v>1409</v>
      </c>
      <c r="B108" t="s">
        <v>1410</v>
      </c>
      <c r="C108" t="s">
        <v>1411</v>
      </c>
      <c r="D108" t="s">
        <v>578</v>
      </c>
      <c r="F108" s="461">
        <v>36471</v>
      </c>
      <c r="J108" t="s">
        <v>541</v>
      </c>
      <c r="K108" t="s">
        <v>1412</v>
      </c>
      <c r="L108" t="s">
        <v>580</v>
      </c>
      <c r="M108" t="s">
        <v>1413</v>
      </c>
      <c r="O108" t="s">
        <v>1414</v>
      </c>
      <c r="P108" t="s">
        <v>1415</v>
      </c>
      <c r="Q108" s="461">
        <v>44088</v>
      </c>
      <c r="R108" s="461">
        <v>44088</v>
      </c>
      <c r="S108" s="461">
        <v>44087</v>
      </c>
      <c r="T108" t="s">
        <v>471</v>
      </c>
    </row>
    <row r="109" spans="1:20" x14ac:dyDescent="0.25">
      <c r="A109" t="s">
        <v>1416</v>
      </c>
      <c r="B109" t="s">
        <v>1417</v>
      </c>
      <c r="C109" t="s">
        <v>1418</v>
      </c>
      <c r="D109" t="s">
        <v>1419</v>
      </c>
      <c r="F109" s="461">
        <v>24656</v>
      </c>
      <c r="H109" t="s">
        <v>463</v>
      </c>
      <c r="I109" t="s">
        <v>540</v>
      </c>
      <c r="J109" t="s">
        <v>465</v>
      </c>
      <c r="K109" t="s">
        <v>1420</v>
      </c>
      <c r="L109" t="s">
        <v>1421</v>
      </c>
      <c r="M109" t="s">
        <v>1422</v>
      </c>
      <c r="O109" t="s">
        <v>1423</v>
      </c>
      <c r="P109" t="s">
        <v>1424</v>
      </c>
      <c r="Q109" s="461">
        <v>42409</v>
      </c>
      <c r="R109" s="461">
        <v>43104</v>
      </c>
      <c r="S109" s="461">
        <v>42409</v>
      </c>
      <c r="T109" t="s">
        <v>483</v>
      </c>
    </row>
    <row r="110" spans="1:20" x14ac:dyDescent="0.25">
      <c r="A110" t="s">
        <v>1425</v>
      </c>
      <c r="B110" t="s">
        <v>1426</v>
      </c>
      <c r="C110" t="s">
        <v>1427</v>
      </c>
      <c r="D110" t="s">
        <v>1428</v>
      </c>
      <c r="F110" s="461">
        <v>37583</v>
      </c>
      <c r="H110" t="s">
        <v>981</v>
      </c>
      <c r="I110" t="s">
        <v>496</v>
      </c>
      <c r="J110" t="s">
        <v>541</v>
      </c>
      <c r="K110" t="s">
        <v>1429</v>
      </c>
      <c r="L110" t="s">
        <v>1430</v>
      </c>
      <c r="M110" t="s">
        <v>1431</v>
      </c>
      <c r="O110" t="s">
        <v>1432</v>
      </c>
      <c r="P110" t="s">
        <v>1433</v>
      </c>
      <c r="Q110" s="461">
        <v>43721</v>
      </c>
      <c r="R110" s="461">
        <v>43721</v>
      </c>
      <c r="S110" s="461">
        <v>43718</v>
      </c>
      <c r="T110" t="s">
        <v>471</v>
      </c>
    </row>
    <row r="111" spans="1:20" x14ac:dyDescent="0.25">
      <c r="A111" t="s">
        <v>1434</v>
      </c>
      <c r="B111" t="s">
        <v>1435</v>
      </c>
      <c r="C111" t="s">
        <v>1436</v>
      </c>
      <c r="D111" t="s">
        <v>1437</v>
      </c>
      <c r="F111" s="461">
        <v>33339</v>
      </c>
      <c r="H111" t="s">
        <v>463</v>
      </c>
      <c r="I111" t="s">
        <v>1438</v>
      </c>
      <c r="J111" t="s">
        <v>497</v>
      </c>
      <c r="K111" t="s">
        <v>1439</v>
      </c>
      <c r="L111" t="s">
        <v>1440</v>
      </c>
      <c r="M111" t="s">
        <v>1441</v>
      </c>
      <c r="O111" t="s">
        <v>1442</v>
      </c>
      <c r="P111" t="s">
        <v>1443</v>
      </c>
      <c r="Q111" s="461">
        <v>44581</v>
      </c>
      <c r="R111" s="461">
        <v>44581</v>
      </c>
      <c r="S111" s="461">
        <v>44579</v>
      </c>
      <c r="T111" t="s">
        <v>471</v>
      </c>
    </row>
    <row r="112" spans="1:20" x14ac:dyDescent="0.25">
      <c r="A112" t="s">
        <v>1444</v>
      </c>
      <c r="B112" t="s">
        <v>1445</v>
      </c>
      <c r="C112" t="s">
        <v>1446</v>
      </c>
      <c r="D112" t="s">
        <v>1447</v>
      </c>
      <c r="F112" s="461">
        <v>27113</v>
      </c>
      <c r="H112" t="s">
        <v>527</v>
      </c>
      <c r="I112" t="s">
        <v>685</v>
      </c>
      <c r="J112" t="s">
        <v>541</v>
      </c>
      <c r="K112" t="s">
        <v>1448</v>
      </c>
      <c r="L112" t="s">
        <v>1449</v>
      </c>
      <c r="M112" t="s">
        <v>1450</v>
      </c>
      <c r="O112" t="s">
        <v>1451</v>
      </c>
      <c r="P112" t="s">
        <v>1452</v>
      </c>
      <c r="Q112" s="461">
        <v>42058</v>
      </c>
      <c r="R112" s="461">
        <v>42058</v>
      </c>
      <c r="S112" s="461">
        <v>42049</v>
      </c>
      <c r="T112" t="s">
        <v>471</v>
      </c>
    </row>
    <row r="113" spans="1:20" x14ac:dyDescent="0.25">
      <c r="A113" t="s">
        <v>1453</v>
      </c>
      <c r="B113" t="s">
        <v>1454</v>
      </c>
      <c r="C113" t="s">
        <v>1455</v>
      </c>
      <c r="D113" t="s">
        <v>1082</v>
      </c>
      <c r="F113" s="461">
        <v>35308</v>
      </c>
      <c r="G113">
        <v>1171950</v>
      </c>
      <c r="H113" t="s">
        <v>463</v>
      </c>
      <c r="I113" t="s">
        <v>551</v>
      </c>
      <c r="J113" t="s">
        <v>541</v>
      </c>
      <c r="K113" t="s">
        <v>1456</v>
      </c>
      <c r="L113" t="s">
        <v>1457</v>
      </c>
      <c r="M113" t="s">
        <v>1458</v>
      </c>
      <c r="O113" t="s">
        <v>1459</v>
      </c>
      <c r="P113" t="s">
        <v>1460</v>
      </c>
      <c r="Q113" s="461">
        <v>43195</v>
      </c>
      <c r="R113" s="461">
        <v>43195</v>
      </c>
      <c r="S113" s="461">
        <v>43195</v>
      </c>
      <c r="T113" t="s">
        <v>471</v>
      </c>
    </row>
    <row r="114" spans="1:20" x14ac:dyDescent="0.25">
      <c r="A114" t="s">
        <v>1461</v>
      </c>
      <c r="B114" t="s">
        <v>1462</v>
      </c>
      <c r="C114" t="s">
        <v>1463</v>
      </c>
      <c r="D114" t="s">
        <v>1464</v>
      </c>
      <c r="F114" s="461">
        <v>36983</v>
      </c>
      <c r="H114" t="s">
        <v>463</v>
      </c>
      <c r="I114" t="s">
        <v>631</v>
      </c>
      <c r="J114" t="s">
        <v>541</v>
      </c>
      <c r="K114" t="s">
        <v>1465</v>
      </c>
      <c r="L114" t="s">
        <v>1466</v>
      </c>
      <c r="M114" t="s">
        <v>1467</v>
      </c>
      <c r="O114" t="s">
        <v>1468</v>
      </c>
      <c r="P114" t="s">
        <v>1469</v>
      </c>
      <c r="Q114" s="461">
        <v>44574</v>
      </c>
      <c r="R114" s="461">
        <v>44574</v>
      </c>
      <c r="S114" s="461">
        <v>44572</v>
      </c>
      <c r="T114" t="s">
        <v>483</v>
      </c>
    </row>
    <row r="115" spans="1:20" x14ac:dyDescent="0.25">
      <c r="A115" t="s">
        <v>1470</v>
      </c>
      <c r="B115" t="s">
        <v>1471</v>
      </c>
      <c r="C115" t="s">
        <v>1472</v>
      </c>
      <c r="D115" t="s">
        <v>1473</v>
      </c>
      <c r="E115" t="s">
        <v>1474</v>
      </c>
      <c r="F115" s="461">
        <v>35840</v>
      </c>
      <c r="G115">
        <v>872522</v>
      </c>
      <c r="H115" t="s">
        <v>476</v>
      </c>
      <c r="J115" t="s">
        <v>529</v>
      </c>
      <c r="K115" t="s">
        <v>1475</v>
      </c>
      <c r="L115" t="s">
        <v>1476</v>
      </c>
      <c r="M115" t="s">
        <v>1477</v>
      </c>
      <c r="O115" t="s">
        <v>1478</v>
      </c>
      <c r="P115" t="s">
        <v>1479</v>
      </c>
      <c r="Q115" s="461">
        <v>44179</v>
      </c>
      <c r="R115" s="461">
        <v>44179</v>
      </c>
      <c r="S115" s="461">
        <v>44172</v>
      </c>
      <c r="T115" t="s">
        <v>483</v>
      </c>
    </row>
    <row r="116" spans="1:20" x14ac:dyDescent="0.25">
      <c r="A116" t="s">
        <v>1480</v>
      </c>
      <c r="B116" t="s">
        <v>1481</v>
      </c>
      <c r="C116" t="s">
        <v>1482</v>
      </c>
      <c r="D116" t="s">
        <v>1483</v>
      </c>
      <c r="F116" s="461">
        <v>35422</v>
      </c>
      <c r="H116" t="s">
        <v>463</v>
      </c>
      <c r="I116" t="s">
        <v>516</v>
      </c>
      <c r="J116" t="s">
        <v>465</v>
      </c>
      <c r="K116" t="s">
        <v>1484</v>
      </c>
      <c r="L116" t="s">
        <v>1485</v>
      </c>
      <c r="M116" t="s">
        <v>1486</v>
      </c>
      <c r="O116" t="s">
        <v>1487</v>
      </c>
      <c r="P116" t="s">
        <v>1488</v>
      </c>
      <c r="Q116" s="461">
        <v>44612</v>
      </c>
      <c r="R116" s="461">
        <v>44612</v>
      </c>
      <c r="S116" s="461">
        <v>44603</v>
      </c>
      <c r="T116" t="s">
        <v>471</v>
      </c>
    </row>
    <row r="117" spans="1:20" x14ac:dyDescent="0.25">
      <c r="A117" t="s">
        <v>1489</v>
      </c>
      <c r="B117" t="s">
        <v>1490</v>
      </c>
      <c r="C117" t="s">
        <v>1491</v>
      </c>
      <c r="D117" t="s">
        <v>1492</v>
      </c>
      <c r="F117" s="461">
        <v>35504</v>
      </c>
      <c r="G117">
        <v>905634</v>
      </c>
      <c r="H117" t="s">
        <v>463</v>
      </c>
      <c r="I117" t="s">
        <v>631</v>
      </c>
      <c r="J117" t="s">
        <v>541</v>
      </c>
      <c r="L117" t="s">
        <v>1493</v>
      </c>
      <c r="M117" t="s">
        <v>1494</v>
      </c>
      <c r="O117" t="s">
        <v>1495</v>
      </c>
      <c r="P117" t="s">
        <v>1496</v>
      </c>
      <c r="Q117" s="461">
        <v>43899</v>
      </c>
      <c r="R117" s="461">
        <v>43899</v>
      </c>
      <c r="S117" s="461">
        <v>43898</v>
      </c>
      <c r="T117" t="s">
        <v>483</v>
      </c>
    </row>
    <row r="118" spans="1:20" x14ac:dyDescent="0.25">
      <c r="A118" t="s">
        <v>1497</v>
      </c>
      <c r="B118" t="s">
        <v>1498</v>
      </c>
      <c r="C118" t="s">
        <v>1499</v>
      </c>
      <c r="D118" t="s">
        <v>1500</v>
      </c>
      <c r="F118" s="461">
        <v>34871</v>
      </c>
      <c r="G118">
        <v>698655</v>
      </c>
      <c r="H118" t="s">
        <v>463</v>
      </c>
      <c r="I118" t="s">
        <v>641</v>
      </c>
      <c r="J118" t="s">
        <v>541</v>
      </c>
      <c r="K118" t="s">
        <v>1501</v>
      </c>
      <c r="L118" t="s">
        <v>1502</v>
      </c>
      <c r="M118" t="s">
        <v>1503</v>
      </c>
      <c r="P118" t="s">
        <v>1504</v>
      </c>
      <c r="Q118" s="461">
        <v>43339</v>
      </c>
      <c r="R118" s="461">
        <v>43339</v>
      </c>
      <c r="S118" s="461">
        <v>43482</v>
      </c>
      <c r="T118" t="s">
        <v>483</v>
      </c>
    </row>
    <row r="119" spans="1:20" x14ac:dyDescent="0.25">
      <c r="A119" t="s">
        <v>1505</v>
      </c>
      <c r="B119" t="s">
        <v>1506</v>
      </c>
      <c r="C119" t="s">
        <v>1507</v>
      </c>
      <c r="D119" t="s">
        <v>1508</v>
      </c>
      <c r="F119" s="461">
        <v>25039</v>
      </c>
      <c r="H119" t="s">
        <v>1509</v>
      </c>
      <c r="K119" t="s">
        <v>1510</v>
      </c>
      <c r="L119" t="s">
        <v>1511</v>
      </c>
      <c r="N119" t="s">
        <v>1512</v>
      </c>
      <c r="O119" t="s">
        <v>1513</v>
      </c>
      <c r="P119" t="s">
        <v>1514</v>
      </c>
      <c r="Q119" s="461">
        <v>37749</v>
      </c>
      <c r="R119" s="461">
        <v>41773</v>
      </c>
      <c r="S119" s="461"/>
      <c r="T119" t="s">
        <v>483</v>
      </c>
    </row>
    <row r="120" spans="1:20" x14ac:dyDescent="0.25">
      <c r="A120" t="s">
        <v>1515</v>
      </c>
      <c r="B120" t="s">
        <v>1516</v>
      </c>
      <c r="C120" t="s">
        <v>1517</v>
      </c>
      <c r="D120" t="s">
        <v>1518</v>
      </c>
      <c r="F120" s="461">
        <v>36393</v>
      </c>
      <c r="G120">
        <v>1535228</v>
      </c>
      <c r="H120" t="s">
        <v>476</v>
      </c>
      <c r="J120" t="s">
        <v>541</v>
      </c>
      <c r="K120" t="s">
        <v>1519</v>
      </c>
      <c r="L120" t="s">
        <v>1520</v>
      </c>
      <c r="M120" t="s">
        <v>1521</v>
      </c>
      <c r="O120" t="s">
        <v>1522</v>
      </c>
      <c r="P120" t="s">
        <v>1523</v>
      </c>
      <c r="Q120" s="461">
        <v>44154</v>
      </c>
      <c r="R120" s="461">
        <v>44154</v>
      </c>
      <c r="S120" s="461">
        <v>44153</v>
      </c>
      <c r="T120" t="s">
        <v>483</v>
      </c>
    </row>
    <row r="121" spans="1:20" x14ac:dyDescent="0.25">
      <c r="A121" t="s">
        <v>1524</v>
      </c>
      <c r="B121" t="s">
        <v>1525</v>
      </c>
      <c r="C121" t="s">
        <v>1526</v>
      </c>
      <c r="D121" t="s">
        <v>989</v>
      </c>
      <c r="F121" s="461">
        <v>36254</v>
      </c>
      <c r="H121" t="s">
        <v>463</v>
      </c>
      <c r="I121" t="s">
        <v>737</v>
      </c>
      <c r="J121" t="s">
        <v>541</v>
      </c>
      <c r="K121" t="s">
        <v>1527</v>
      </c>
      <c r="L121" t="s">
        <v>1528</v>
      </c>
      <c r="M121" t="s">
        <v>1529</v>
      </c>
      <c r="O121" t="s">
        <v>1530</v>
      </c>
      <c r="P121" t="s">
        <v>1531</v>
      </c>
      <c r="Q121" s="461">
        <v>44612</v>
      </c>
      <c r="R121" s="461">
        <v>44612</v>
      </c>
      <c r="S121" s="461">
        <v>44607</v>
      </c>
      <c r="T121" t="s">
        <v>483</v>
      </c>
    </row>
    <row r="122" spans="1:20" x14ac:dyDescent="0.25">
      <c r="A122" t="s">
        <v>1532</v>
      </c>
      <c r="B122" t="s">
        <v>1533</v>
      </c>
      <c r="C122" t="s">
        <v>1534</v>
      </c>
      <c r="D122" t="s">
        <v>1535</v>
      </c>
      <c r="F122" s="461">
        <v>34900</v>
      </c>
      <c r="G122">
        <v>708510</v>
      </c>
      <c r="H122" t="s">
        <v>463</v>
      </c>
      <c r="I122" t="s">
        <v>540</v>
      </c>
      <c r="J122" t="s">
        <v>541</v>
      </c>
      <c r="K122" t="s">
        <v>1536</v>
      </c>
      <c r="L122" t="s">
        <v>1537</v>
      </c>
      <c r="M122" t="s">
        <v>1538</v>
      </c>
      <c r="O122" t="s">
        <v>1539</v>
      </c>
      <c r="P122" t="s">
        <v>1540</v>
      </c>
      <c r="Q122" s="461">
        <v>44612</v>
      </c>
      <c r="R122" s="461">
        <v>44612</v>
      </c>
      <c r="S122" s="461">
        <v>44603</v>
      </c>
      <c r="T122" t="s">
        <v>483</v>
      </c>
    </row>
    <row r="123" spans="1:20" x14ac:dyDescent="0.25">
      <c r="A123" t="s">
        <v>1541</v>
      </c>
      <c r="B123" t="s">
        <v>1542</v>
      </c>
      <c r="C123" t="s">
        <v>1543</v>
      </c>
      <c r="D123" t="s">
        <v>1544</v>
      </c>
      <c r="F123" s="461">
        <v>21635</v>
      </c>
      <c r="G123">
        <v>2200597</v>
      </c>
      <c r="H123" t="s">
        <v>463</v>
      </c>
      <c r="I123" t="s">
        <v>551</v>
      </c>
      <c r="J123" t="s">
        <v>541</v>
      </c>
      <c r="K123" t="s">
        <v>1545</v>
      </c>
      <c r="L123" t="s">
        <v>1546</v>
      </c>
      <c r="M123" t="s">
        <v>1547</v>
      </c>
      <c r="O123" t="s">
        <v>1548</v>
      </c>
      <c r="P123" t="s">
        <v>1549</v>
      </c>
      <c r="Q123" s="461">
        <v>43258</v>
      </c>
      <c r="R123" s="461">
        <v>43258</v>
      </c>
      <c r="S123" s="461">
        <v>43256</v>
      </c>
      <c r="T123" t="s">
        <v>471</v>
      </c>
    </row>
    <row r="124" spans="1:20" x14ac:dyDescent="0.25">
      <c r="A124" t="s">
        <v>1550</v>
      </c>
      <c r="B124" t="s">
        <v>1551</v>
      </c>
      <c r="C124" t="s">
        <v>1543</v>
      </c>
      <c r="D124" t="s">
        <v>1552</v>
      </c>
      <c r="F124" s="461">
        <v>27261</v>
      </c>
      <c r="H124" t="s">
        <v>476</v>
      </c>
      <c r="I124" t="s">
        <v>477</v>
      </c>
      <c r="J124" t="s">
        <v>465</v>
      </c>
      <c r="K124" t="s">
        <v>1553</v>
      </c>
      <c r="L124" t="s">
        <v>1554</v>
      </c>
      <c r="M124" t="s">
        <v>1555</v>
      </c>
      <c r="O124" t="s">
        <v>1556</v>
      </c>
      <c r="P124" t="s">
        <v>1549</v>
      </c>
      <c r="Q124" s="461">
        <v>43187</v>
      </c>
      <c r="R124" s="461">
        <v>43187</v>
      </c>
      <c r="S124" s="461">
        <v>43187</v>
      </c>
      <c r="T124" t="s">
        <v>483</v>
      </c>
    </row>
    <row r="125" spans="1:20" x14ac:dyDescent="0.25">
      <c r="A125" t="s">
        <v>1557</v>
      </c>
      <c r="B125" t="s">
        <v>1558</v>
      </c>
      <c r="C125" t="s">
        <v>1559</v>
      </c>
      <c r="D125" t="s">
        <v>1303</v>
      </c>
      <c r="F125" s="461">
        <v>25320</v>
      </c>
      <c r="H125" t="s">
        <v>463</v>
      </c>
      <c r="I125" t="s">
        <v>737</v>
      </c>
      <c r="J125" t="s">
        <v>541</v>
      </c>
      <c r="K125" t="s">
        <v>1560</v>
      </c>
      <c r="L125" t="s">
        <v>1561</v>
      </c>
      <c r="M125" t="s">
        <v>1562</v>
      </c>
      <c r="O125" t="s">
        <v>1563</v>
      </c>
      <c r="P125" t="s">
        <v>1564</v>
      </c>
      <c r="Q125" s="461">
        <v>44612</v>
      </c>
      <c r="R125" s="461">
        <v>44612</v>
      </c>
      <c r="S125" s="461">
        <v>44606</v>
      </c>
      <c r="T125" t="s">
        <v>483</v>
      </c>
    </row>
    <row r="126" spans="1:20" x14ac:dyDescent="0.25">
      <c r="A126" t="s">
        <v>1565</v>
      </c>
      <c r="B126" t="s">
        <v>1566</v>
      </c>
      <c r="C126" t="s">
        <v>1567</v>
      </c>
      <c r="D126" t="s">
        <v>1568</v>
      </c>
      <c r="F126" s="461">
        <v>32750</v>
      </c>
      <c r="H126" t="s">
        <v>476</v>
      </c>
      <c r="I126" t="s">
        <v>488</v>
      </c>
      <c r="J126" t="s">
        <v>465</v>
      </c>
      <c r="K126" t="s">
        <v>1569</v>
      </c>
      <c r="L126" t="s">
        <v>1570</v>
      </c>
      <c r="M126" t="s">
        <v>1571</v>
      </c>
      <c r="O126" t="s">
        <v>1572</v>
      </c>
      <c r="P126" t="s">
        <v>1573</v>
      </c>
      <c r="Q126" s="461">
        <v>42030</v>
      </c>
      <c r="R126" s="461">
        <v>42030</v>
      </c>
      <c r="S126" s="461"/>
      <c r="T126" t="s">
        <v>471</v>
      </c>
    </row>
    <row r="127" spans="1:20" x14ac:dyDescent="0.25">
      <c r="A127" t="s">
        <v>1574</v>
      </c>
      <c r="B127" t="s">
        <v>1575</v>
      </c>
      <c r="C127" t="s">
        <v>1576</v>
      </c>
      <c r="D127" t="s">
        <v>1577</v>
      </c>
      <c r="F127" s="461"/>
      <c r="H127" t="s">
        <v>729</v>
      </c>
      <c r="I127" t="s">
        <v>477</v>
      </c>
      <c r="J127" t="s">
        <v>497</v>
      </c>
      <c r="K127" t="s">
        <v>1578</v>
      </c>
      <c r="L127" t="s">
        <v>1579</v>
      </c>
      <c r="M127" t="s">
        <v>1580</v>
      </c>
      <c r="O127" t="s">
        <v>1581</v>
      </c>
      <c r="P127" t="s">
        <v>1582</v>
      </c>
      <c r="Q127" s="461">
        <v>43486</v>
      </c>
      <c r="R127" s="461">
        <v>43486</v>
      </c>
      <c r="S127" s="461">
        <v>43485</v>
      </c>
      <c r="T127" t="s">
        <v>471</v>
      </c>
    </row>
    <row r="128" spans="1:20" x14ac:dyDescent="0.25">
      <c r="A128" t="s">
        <v>1583</v>
      </c>
      <c r="B128" t="s">
        <v>1584</v>
      </c>
      <c r="C128" t="s">
        <v>1585</v>
      </c>
      <c r="D128" t="s">
        <v>1586</v>
      </c>
      <c r="F128" s="461">
        <v>33617</v>
      </c>
      <c r="G128">
        <v>679908</v>
      </c>
      <c r="H128" t="s">
        <v>476</v>
      </c>
      <c r="J128" t="s">
        <v>465</v>
      </c>
      <c r="K128" t="s">
        <v>1587</v>
      </c>
      <c r="L128" t="s">
        <v>1588</v>
      </c>
      <c r="M128" t="s">
        <v>1589</v>
      </c>
      <c r="O128" t="s">
        <v>1590</v>
      </c>
      <c r="P128" t="s">
        <v>1591</v>
      </c>
      <c r="Q128" s="461">
        <v>43052</v>
      </c>
      <c r="R128" s="461">
        <v>43052</v>
      </c>
      <c r="S128" s="461">
        <v>43044</v>
      </c>
      <c r="T128" t="s">
        <v>483</v>
      </c>
    </row>
    <row r="129" spans="1:20" x14ac:dyDescent="0.25">
      <c r="A129" t="s">
        <v>1592</v>
      </c>
      <c r="B129" t="s">
        <v>1593</v>
      </c>
      <c r="C129" t="s">
        <v>1594</v>
      </c>
      <c r="D129" t="s">
        <v>1595</v>
      </c>
      <c r="F129" s="461"/>
      <c r="H129" t="s">
        <v>729</v>
      </c>
      <c r="I129" t="s">
        <v>528</v>
      </c>
      <c r="J129" t="s">
        <v>497</v>
      </c>
      <c r="K129" t="s">
        <v>1596</v>
      </c>
      <c r="L129" t="s">
        <v>1597</v>
      </c>
      <c r="N129" t="s">
        <v>1598</v>
      </c>
      <c r="P129" t="s">
        <v>1599</v>
      </c>
      <c r="Q129" s="461">
        <v>43489</v>
      </c>
      <c r="R129" s="461">
        <v>43489</v>
      </c>
      <c r="S129" s="461">
        <v>43488</v>
      </c>
      <c r="T129" t="s">
        <v>471</v>
      </c>
    </row>
    <row r="130" spans="1:20" x14ac:dyDescent="0.25">
      <c r="A130" t="s">
        <v>1600</v>
      </c>
      <c r="B130" t="s">
        <v>1601</v>
      </c>
      <c r="C130" t="s">
        <v>1567</v>
      </c>
      <c r="D130" t="s">
        <v>1602</v>
      </c>
      <c r="F130" s="461">
        <v>32461</v>
      </c>
      <c r="H130" t="s">
        <v>729</v>
      </c>
      <c r="I130" t="s">
        <v>496</v>
      </c>
      <c r="J130" t="s">
        <v>497</v>
      </c>
      <c r="K130" t="s">
        <v>1603</v>
      </c>
      <c r="L130" t="s">
        <v>1405</v>
      </c>
      <c r="M130" t="s">
        <v>1604</v>
      </c>
      <c r="O130" t="s">
        <v>1605</v>
      </c>
      <c r="P130" t="s">
        <v>1573</v>
      </c>
      <c r="Q130" s="461">
        <v>43523</v>
      </c>
      <c r="R130" s="461">
        <v>43523</v>
      </c>
      <c r="S130" s="461">
        <v>43521</v>
      </c>
      <c r="T130" t="s">
        <v>471</v>
      </c>
    </row>
    <row r="131" spans="1:20" x14ac:dyDescent="0.25">
      <c r="A131" t="s">
        <v>1606</v>
      </c>
      <c r="B131" t="s">
        <v>1607</v>
      </c>
      <c r="C131" t="s">
        <v>1608</v>
      </c>
      <c r="D131" t="s">
        <v>1609</v>
      </c>
      <c r="F131" s="461">
        <v>34247</v>
      </c>
      <c r="G131">
        <v>390162</v>
      </c>
      <c r="H131" t="s">
        <v>476</v>
      </c>
      <c r="J131" t="s">
        <v>465</v>
      </c>
      <c r="K131" t="s">
        <v>1610</v>
      </c>
      <c r="L131" t="s">
        <v>1611</v>
      </c>
      <c r="M131" t="s">
        <v>1612</v>
      </c>
      <c r="O131" t="s">
        <v>1613</v>
      </c>
      <c r="P131" t="s">
        <v>1614</v>
      </c>
      <c r="Q131" s="461">
        <v>43071</v>
      </c>
      <c r="R131" s="461">
        <v>43071</v>
      </c>
      <c r="S131" s="461"/>
      <c r="T131" t="s">
        <v>471</v>
      </c>
    </row>
    <row r="132" spans="1:20" x14ac:dyDescent="0.25">
      <c r="A132" t="s">
        <v>1615</v>
      </c>
      <c r="B132" t="s">
        <v>1616</v>
      </c>
      <c r="C132" t="s">
        <v>1608</v>
      </c>
      <c r="D132" t="s">
        <v>1403</v>
      </c>
      <c r="F132" s="461">
        <v>34208</v>
      </c>
      <c r="H132" t="s">
        <v>463</v>
      </c>
      <c r="I132" t="s">
        <v>496</v>
      </c>
      <c r="K132" t="s">
        <v>1617</v>
      </c>
      <c r="L132" t="s">
        <v>1618</v>
      </c>
      <c r="M132" t="s">
        <v>1619</v>
      </c>
      <c r="O132" t="s">
        <v>1620</v>
      </c>
      <c r="P132" t="s">
        <v>1614</v>
      </c>
      <c r="Q132" s="461">
        <v>43475</v>
      </c>
      <c r="R132" s="461">
        <v>43475</v>
      </c>
      <c r="S132" s="461">
        <v>43474</v>
      </c>
      <c r="T132" t="s">
        <v>483</v>
      </c>
    </row>
    <row r="133" spans="1:20" x14ac:dyDescent="0.25">
      <c r="A133" t="s">
        <v>1621</v>
      </c>
      <c r="B133" t="s">
        <v>1622</v>
      </c>
      <c r="C133" t="s">
        <v>1623</v>
      </c>
      <c r="D133" t="s">
        <v>1624</v>
      </c>
      <c r="E133" t="s">
        <v>1625</v>
      </c>
      <c r="F133" s="461">
        <v>35880</v>
      </c>
      <c r="G133">
        <v>2301351</v>
      </c>
      <c r="H133" t="s">
        <v>463</v>
      </c>
      <c r="I133" t="s">
        <v>836</v>
      </c>
      <c r="J133" t="s">
        <v>465</v>
      </c>
      <c r="K133" t="s">
        <v>1626</v>
      </c>
      <c r="L133" t="s">
        <v>1627</v>
      </c>
      <c r="M133" t="s">
        <v>1628</v>
      </c>
      <c r="O133" t="s">
        <v>1629</v>
      </c>
      <c r="P133" t="s">
        <v>1630</v>
      </c>
      <c r="Q133" s="461">
        <v>43071</v>
      </c>
      <c r="R133" s="461">
        <v>43071</v>
      </c>
      <c r="S133" s="461">
        <v>43484</v>
      </c>
      <c r="T133" t="s">
        <v>483</v>
      </c>
    </row>
    <row r="134" spans="1:20" x14ac:dyDescent="0.25">
      <c r="A134" t="s">
        <v>1631</v>
      </c>
      <c r="B134" t="s">
        <v>1632</v>
      </c>
      <c r="C134" t="s">
        <v>1633</v>
      </c>
      <c r="D134" t="s">
        <v>1634</v>
      </c>
      <c r="F134" s="461">
        <v>23697</v>
      </c>
      <c r="G134">
        <v>64483</v>
      </c>
      <c r="H134" t="s">
        <v>1635</v>
      </c>
      <c r="J134" t="s">
        <v>529</v>
      </c>
      <c r="K134" t="s">
        <v>1636</v>
      </c>
      <c r="L134" t="s">
        <v>1637</v>
      </c>
      <c r="M134" t="s">
        <v>1638</v>
      </c>
      <c r="N134" t="s">
        <v>1639</v>
      </c>
      <c r="O134" t="s">
        <v>1640</v>
      </c>
      <c r="P134" t="s">
        <v>1641</v>
      </c>
      <c r="Q134" s="461">
        <v>40313</v>
      </c>
      <c r="R134" s="461">
        <v>41774</v>
      </c>
      <c r="S134" s="461">
        <v>42031</v>
      </c>
      <c r="T134" t="s">
        <v>471</v>
      </c>
    </row>
    <row r="135" spans="1:20" x14ac:dyDescent="0.25">
      <c r="A135" t="s">
        <v>1642</v>
      </c>
      <c r="B135" t="s">
        <v>1643</v>
      </c>
      <c r="C135" t="s">
        <v>1644</v>
      </c>
      <c r="D135" t="s">
        <v>1645</v>
      </c>
      <c r="F135" s="461">
        <v>33761</v>
      </c>
      <c r="G135">
        <v>1470994</v>
      </c>
      <c r="H135" t="s">
        <v>1646</v>
      </c>
      <c r="J135" t="s">
        <v>541</v>
      </c>
      <c r="K135" t="s">
        <v>1647</v>
      </c>
      <c r="L135" t="s">
        <v>1648</v>
      </c>
      <c r="M135" t="s">
        <v>1649</v>
      </c>
      <c r="O135" t="s">
        <v>1650</v>
      </c>
      <c r="P135" t="s">
        <v>1651</v>
      </c>
      <c r="Q135" s="461">
        <v>42037</v>
      </c>
      <c r="R135" s="461">
        <v>42037</v>
      </c>
      <c r="S135" s="461">
        <v>42036</v>
      </c>
      <c r="T135" t="s">
        <v>471</v>
      </c>
    </row>
    <row r="136" spans="1:20" x14ac:dyDescent="0.25">
      <c r="A136" t="s">
        <v>1652</v>
      </c>
      <c r="B136" t="s">
        <v>1653</v>
      </c>
      <c r="C136" t="s">
        <v>1654</v>
      </c>
      <c r="D136" t="s">
        <v>1655</v>
      </c>
      <c r="F136" s="461">
        <v>37668</v>
      </c>
      <c r="H136" t="s">
        <v>527</v>
      </c>
      <c r="I136" t="s">
        <v>496</v>
      </c>
      <c r="J136" t="s">
        <v>541</v>
      </c>
      <c r="K136" t="s">
        <v>1656</v>
      </c>
      <c r="L136" t="s">
        <v>1657</v>
      </c>
      <c r="M136" t="s">
        <v>1658</v>
      </c>
      <c r="O136" t="s">
        <v>1659</v>
      </c>
      <c r="P136" t="s">
        <v>1660</v>
      </c>
      <c r="Q136" s="461">
        <v>43721</v>
      </c>
      <c r="R136" s="461">
        <v>43721</v>
      </c>
      <c r="S136" s="461">
        <v>43718</v>
      </c>
      <c r="T136" t="s">
        <v>471</v>
      </c>
    </row>
    <row r="137" spans="1:20" x14ac:dyDescent="0.25">
      <c r="A137" t="s">
        <v>1661</v>
      </c>
      <c r="B137" t="s">
        <v>1662</v>
      </c>
      <c r="C137" t="s">
        <v>1663</v>
      </c>
      <c r="D137" t="s">
        <v>1664</v>
      </c>
      <c r="F137" s="461">
        <v>33306</v>
      </c>
      <c r="G137">
        <v>890965</v>
      </c>
      <c r="H137" t="s">
        <v>463</v>
      </c>
      <c r="I137" t="s">
        <v>1438</v>
      </c>
      <c r="J137" t="s">
        <v>541</v>
      </c>
      <c r="K137" t="s">
        <v>1665</v>
      </c>
      <c r="L137" t="s">
        <v>1666</v>
      </c>
      <c r="M137" t="s">
        <v>1667</v>
      </c>
      <c r="O137" t="s">
        <v>1668</v>
      </c>
      <c r="P137" t="s">
        <v>1669</v>
      </c>
      <c r="Q137" s="461">
        <v>44581</v>
      </c>
      <c r="R137" s="461">
        <v>44581</v>
      </c>
      <c r="S137" s="461">
        <v>44579</v>
      </c>
      <c r="T137" t="s">
        <v>471</v>
      </c>
    </row>
    <row r="138" spans="1:20" x14ac:dyDescent="0.25">
      <c r="A138" t="s">
        <v>1670</v>
      </c>
      <c r="B138" t="s">
        <v>1671</v>
      </c>
      <c r="C138" t="s">
        <v>1672</v>
      </c>
      <c r="D138" t="s">
        <v>1673</v>
      </c>
      <c r="F138" s="461">
        <v>33661</v>
      </c>
      <c r="H138" t="s">
        <v>463</v>
      </c>
      <c r="I138" t="s">
        <v>540</v>
      </c>
      <c r="J138" t="s">
        <v>465</v>
      </c>
      <c r="K138" t="s">
        <v>1674</v>
      </c>
      <c r="L138" t="s">
        <v>1675</v>
      </c>
      <c r="M138" t="s">
        <v>1676</v>
      </c>
      <c r="O138" t="s">
        <v>1677</v>
      </c>
      <c r="P138" t="s">
        <v>1678</v>
      </c>
      <c r="Q138" s="461">
        <v>42409</v>
      </c>
      <c r="R138" s="461">
        <v>43851</v>
      </c>
      <c r="S138" s="461">
        <v>42409</v>
      </c>
      <c r="T138" t="s">
        <v>483</v>
      </c>
    </row>
    <row r="139" spans="1:20" x14ac:dyDescent="0.25">
      <c r="A139" t="s">
        <v>1679</v>
      </c>
      <c r="B139" t="s">
        <v>1680</v>
      </c>
      <c r="C139" t="s">
        <v>1681</v>
      </c>
      <c r="D139" t="s">
        <v>1682</v>
      </c>
      <c r="F139" s="461">
        <v>35800</v>
      </c>
      <c r="G139">
        <v>1049193</v>
      </c>
      <c r="H139" t="s">
        <v>463</v>
      </c>
      <c r="I139" t="s">
        <v>641</v>
      </c>
      <c r="J139" t="s">
        <v>529</v>
      </c>
      <c r="K139" t="s">
        <v>1683</v>
      </c>
      <c r="L139" t="s">
        <v>1684</v>
      </c>
      <c r="M139" t="s">
        <v>1685</v>
      </c>
      <c r="O139" t="s">
        <v>1686</v>
      </c>
      <c r="P139" t="s">
        <v>1687</v>
      </c>
      <c r="Q139" s="461">
        <v>43864</v>
      </c>
      <c r="R139" s="461">
        <v>43864</v>
      </c>
      <c r="S139" s="461">
        <v>43863</v>
      </c>
      <c r="T139" t="s">
        <v>471</v>
      </c>
    </row>
    <row r="140" spans="1:20" x14ac:dyDescent="0.25">
      <c r="A140" t="s">
        <v>1688</v>
      </c>
      <c r="B140" t="s">
        <v>1689</v>
      </c>
      <c r="C140" t="s">
        <v>1681</v>
      </c>
      <c r="D140" t="s">
        <v>1690</v>
      </c>
      <c r="F140" s="461">
        <v>34423</v>
      </c>
      <c r="H140" t="s">
        <v>476</v>
      </c>
      <c r="J140" t="s">
        <v>529</v>
      </c>
      <c r="K140" t="s">
        <v>1691</v>
      </c>
      <c r="L140" t="s">
        <v>1692</v>
      </c>
      <c r="M140" t="s">
        <v>1693</v>
      </c>
      <c r="O140" t="s">
        <v>1694</v>
      </c>
      <c r="P140" t="s">
        <v>1687</v>
      </c>
      <c r="Q140" s="461">
        <v>42649</v>
      </c>
      <c r="R140" s="461">
        <v>43034</v>
      </c>
      <c r="S140" s="461">
        <v>42649</v>
      </c>
      <c r="T140" t="s">
        <v>471</v>
      </c>
    </row>
    <row r="141" spans="1:20" x14ac:dyDescent="0.25">
      <c r="A141" t="s">
        <v>1695</v>
      </c>
      <c r="B141" t="s">
        <v>1696</v>
      </c>
      <c r="C141" t="s">
        <v>1697</v>
      </c>
      <c r="D141" t="s">
        <v>1698</v>
      </c>
      <c r="F141" s="461">
        <v>36621</v>
      </c>
      <c r="H141" t="s">
        <v>463</v>
      </c>
      <c r="I141" t="s">
        <v>703</v>
      </c>
      <c r="J141" t="s">
        <v>465</v>
      </c>
      <c r="K141" t="s">
        <v>1699</v>
      </c>
      <c r="L141" t="s">
        <v>1700</v>
      </c>
      <c r="M141" t="s">
        <v>1701</v>
      </c>
      <c r="O141" t="s">
        <v>1702</v>
      </c>
      <c r="P141" t="s">
        <v>1703</v>
      </c>
      <c r="Q141" s="461">
        <v>44923</v>
      </c>
      <c r="R141" s="461">
        <v>44923</v>
      </c>
      <c r="S141" s="461">
        <v>44918</v>
      </c>
      <c r="T141" t="s">
        <v>483</v>
      </c>
    </row>
    <row r="142" spans="1:20" x14ac:dyDescent="0.25">
      <c r="A142" t="s">
        <v>1704</v>
      </c>
      <c r="B142" t="s">
        <v>1705</v>
      </c>
      <c r="C142" t="s">
        <v>1706</v>
      </c>
      <c r="D142" t="s">
        <v>1707</v>
      </c>
      <c r="F142" s="461">
        <v>36766</v>
      </c>
      <c r="G142">
        <v>1100056</v>
      </c>
      <c r="H142" t="s">
        <v>476</v>
      </c>
      <c r="J142" t="s">
        <v>541</v>
      </c>
      <c r="K142" t="s">
        <v>1708</v>
      </c>
      <c r="L142" t="s">
        <v>1709</v>
      </c>
      <c r="M142" t="s">
        <v>1710</v>
      </c>
      <c r="O142" t="s">
        <v>1711</v>
      </c>
      <c r="P142" t="s">
        <v>1712</v>
      </c>
      <c r="Q142" s="461">
        <v>44896</v>
      </c>
      <c r="R142" s="461">
        <v>44896</v>
      </c>
      <c r="S142" s="461">
        <v>44893</v>
      </c>
      <c r="T142" t="s">
        <v>483</v>
      </c>
    </row>
    <row r="143" spans="1:20" x14ac:dyDescent="0.25">
      <c r="A143" t="s">
        <v>1713</v>
      </c>
      <c r="B143" t="s">
        <v>1714</v>
      </c>
      <c r="C143" t="s">
        <v>1715</v>
      </c>
      <c r="D143" t="s">
        <v>1716</v>
      </c>
      <c r="F143" s="461">
        <v>34490</v>
      </c>
      <c r="G143">
        <v>791422</v>
      </c>
      <c r="H143" t="s">
        <v>463</v>
      </c>
      <c r="I143" t="s">
        <v>551</v>
      </c>
      <c r="J143" t="s">
        <v>465</v>
      </c>
      <c r="L143" t="s">
        <v>1717</v>
      </c>
      <c r="M143" t="s">
        <v>1718</v>
      </c>
      <c r="O143" t="s">
        <v>1719</v>
      </c>
      <c r="P143" t="s">
        <v>1720</v>
      </c>
      <c r="Q143" s="461">
        <v>43003</v>
      </c>
      <c r="R143" s="461">
        <v>43003</v>
      </c>
      <c r="S143" s="461"/>
      <c r="T143" t="s">
        <v>471</v>
      </c>
    </row>
    <row r="144" spans="1:20" x14ac:dyDescent="0.25">
      <c r="A144" t="s">
        <v>1721</v>
      </c>
      <c r="B144" t="s">
        <v>1722</v>
      </c>
      <c r="C144" t="s">
        <v>1723</v>
      </c>
      <c r="D144" t="s">
        <v>1724</v>
      </c>
      <c r="F144" s="461">
        <v>35990</v>
      </c>
      <c r="G144">
        <v>920099</v>
      </c>
      <c r="H144" t="s">
        <v>463</v>
      </c>
      <c r="I144" t="s">
        <v>551</v>
      </c>
      <c r="J144" t="s">
        <v>465</v>
      </c>
      <c r="K144" t="s">
        <v>1725</v>
      </c>
      <c r="L144" t="s">
        <v>1726</v>
      </c>
      <c r="N144" t="s">
        <v>1727</v>
      </c>
      <c r="O144" t="s">
        <v>1728</v>
      </c>
      <c r="P144" t="s">
        <v>1729</v>
      </c>
      <c r="Q144" s="461">
        <v>43898</v>
      </c>
      <c r="R144" s="461">
        <v>43898</v>
      </c>
      <c r="S144" s="461">
        <v>43895</v>
      </c>
      <c r="T144" t="s">
        <v>471</v>
      </c>
    </row>
    <row r="145" spans="1:20" x14ac:dyDescent="0.25">
      <c r="A145" t="s">
        <v>1730</v>
      </c>
      <c r="B145" t="s">
        <v>1731</v>
      </c>
      <c r="C145" t="s">
        <v>1732</v>
      </c>
      <c r="D145" t="s">
        <v>1733</v>
      </c>
      <c r="F145" s="461">
        <v>37975</v>
      </c>
      <c r="H145" t="s">
        <v>463</v>
      </c>
      <c r="I145" t="s">
        <v>1438</v>
      </c>
      <c r="J145" t="s">
        <v>465</v>
      </c>
      <c r="K145" t="s">
        <v>1734</v>
      </c>
      <c r="L145" t="s">
        <v>1735</v>
      </c>
      <c r="M145" t="s">
        <v>1736</v>
      </c>
      <c r="O145" t="s">
        <v>1737</v>
      </c>
      <c r="P145" t="s">
        <v>1738</v>
      </c>
      <c r="Q145" s="461">
        <v>44581</v>
      </c>
      <c r="R145" s="461">
        <v>44581</v>
      </c>
      <c r="S145" s="461">
        <v>44579</v>
      </c>
      <c r="T145" t="s">
        <v>471</v>
      </c>
    </row>
    <row r="146" spans="1:20" x14ac:dyDescent="0.25">
      <c r="A146" t="s">
        <v>1739</v>
      </c>
      <c r="B146" t="s">
        <v>1740</v>
      </c>
      <c r="C146" t="s">
        <v>1741</v>
      </c>
      <c r="D146" t="s">
        <v>1742</v>
      </c>
      <c r="E146" t="s">
        <v>1743</v>
      </c>
      <c r="F146" s="461">
        <v>36379</v>
      </c>
      <c r="G146">
        <v>2064389</v>
      </c>
      <c r="H146" t="s">
        <v>463</v>
      </c>
      <c r="I146" t="s">
        <v>641</v>
      </c>
      <c r="J146" t="s">
        <v>541</v>
      </c>
      <c r="K146" t="s">
        <v>1744</v>
      </c>
      <c r="L146" t="s">
        <v>1745</v>
      </c>
      <c r="M146" t="s">
        <v>1746</v>
      </c>
      <c r="O146" t="s">
        <v>1747</v>
      </c>
      <c r="P146" t="s">
        <v>1748</v>
      </c>
      <c r="Q146" s="461">
        <v>45000</v>
      </c>
      <c r="R146" s="461">
        <v>45000</v>
      </c>
      <c r="S146" s="461">
        <v>44999</v>
      </c>
      <c r="T146" t="s">
        <v>471</v>
      </c>
    </row>
    <row r="147" spans="1:20" x14ac:dyDescent="0.25">
      <c r="A147" t="s">
        <v>1749</v>
      </c>
      <c r="B147" t="s">
        <v>1750</v>
      </c>
      <c r="C147" t="s">
        <v>1751</v>
      </c>
      <c r="D147" t="s">
        <v>1752</v>
      </c>
      <c r="F147" s="461">
        <v>35084</v>
      </c>
      <c r="G147">
        <v>699663</v>
      </c>
      <c r="H147" t="s">
        <v>527</v>
      </c>
      <c r="I147" t="s">
        <v>540</v>
      </c>
      <c r="J147" t="s">
        <v>541</v>
      </c>
      <c r="K147" t="s">
        <v>1753</v>
      </c>
      <c r="L147" t="s">
        <v>1754</v>
      </c>
      <c r="M147" t="s">
        <v>1755</v>
      </c>
      <c r="O147" t="s">
        <v>1756</v>
      </c>
      <c r="P147" t="s">
        <v>1757</v>
      </c>
      <c r="Q147" s="461">
        <v>43149</v>
      </c>
      <c r="R147" s="461">
        <v>43851</v>
      </c>
      <c r="S147" s="461">
        <v>43149</v>
      </c>
      <c r="T147" t="s">
        <v>483</v>
      </c>
    </row>
    <row r="148" spans="1:20" x14ac:dyDescent="0.25">
      <c r="A148" t="s">
        <v>1758</v>
      </c>
      <c r="B148" t="s">
        <v>1759</v>
      </c>
      <c r="C148" t="s">
        <v>1751</v>
      </c>
      <c r="D148" t="s">
        <v>1760</v>
      </c>
      <c r="F148" s="461"/>
      <c r="G148">
        <v>1440261</v>
      </c>
      <c r="H148" t="s">
        <v>463</v>
      </c>
      <c r="I148" t="s">
        <v>551</v>
      </c>
      <c r="J148" t="s">
        <v>541</v>
      </c>
      <c r="K148" t="s">
        <v>1761</v>
      </c>
      <c r="L148" t="s">
        <v>1762</v>
      </c>
      <c r="M148" t="s">
        <v>1763</v>
      </c>
      <c r="O148" t="s">
        <v>1764</v>
      </c>
      <c r="P148" t="s">
        <v>1757</v>
      </c>
      <c r="Q148" s="461">
        <v>43199</v>
      </c>
      <c r="R148" s="461">
        <v>43199</v>
      </c>
      <c r="S148" s="461">
        <v>43197</v>
      </c>
      <c r="T148" t="s">
        <v>483</v>
      </c>
    </row>
    <row r="149" spans="1:20" x14ac:dyDescent="0.25">
      <c r="A149" t="s">
        <v>1765</v>
      </c>
      <c r="B149" t="s">
        <v>1766</v>
      </c>
      <c r="C149" t="s">
        <v>1767</v>
      </c>
      <c r="D149" t="s">
        <v>1768</v>
      </c>
      <c r="F149" s="461">
        <v>37006</v>
      </c>
      <c r="G149">
        <v>903354</v>
      </c>
      <c r="H149" t="s">
        <v>463</v>
      </c>
      <c r="I149" t="s">
        <v>1438</v>
      </c>
      <c r="J149" t="s">
        <v>541</v>
      </c>
      <c r="K149" t="s">
        <v>1769</v>
      </c>
      <c r="L149" t="s">
        <v>1770</v>
      </c>
      <c r="M149" t="s">
        <v>1771</v>
      </c>
      <c r="O149" t="s">
        <v>1772</v>
      </c>
      <c r="P149" t="s">
        <v>1773</v>
      </c>
      <c r="Q149" s="461">
        <v>44935</v>
      </c>
      <c r="R149" s="461">
        <v>44935</v>
      </c>
      <c r="S149" s="461">
        <v>44934</v>
      </c>
      <c r="T149" t="s">
        <v>483</v>
      </c>
    </row>
    <row r="150" spans="1:20" x14ac:dyDescent="0.25">
      <c r="A150" t="s">
        <v>1774</v>
      </c>
      <c r="B150" t="s">
        <v>1775</v>
      </c>
      <c r="C150" t="s">
        <v>1776</v>
      </c>
      <c r="D150" t="s">
        <v>1777</v>
      </c>
      <c r="F150" s="461">
        <v>33996</v>
      </c>
      <c r="H150" t="s">
        <v>463</v>
      </c>
      <c r="I150" t="s">
        <v>1438</v>
      </c>
      <c r="J150" t="s">
        <v>497</v>
      </c>
      <c r="K150" t="s">
        <v>1778</v>
      </c>
      <c r="L150" t="s">
        <v>1779</v>
      </c>
      <c r="M150" t="s">
        <v>1780</v>
      </c>
      <c r="O150" t="s">
        <v>1781</v>
      </c>
      <c r="P150" t="s">
        <v>1782</v>
      </c>
      <c r="Q150" s="461">
        <v>44581</v>
      </c>
      <c r="R150" s="461">
        <v>44581</v>
      </c>
      <c r="S150" s="461">
        <v>44579</v>
      </c>
      <c r="T150" t="s">
        <v>471</v>
      </c>
    </row>
    <row r="151" spans="1:20" x14ac:dyDescent="0.25">
      <c r="A151" t="s">
        <v>1783</v>
      </c>
      <c r="B151" t="s">
        <v>1784</v>
      </c>
      <c r="C151" t="s">
        <v>1785</v>
      </c>
      <c r="D151" t="s">
        <v>1786</v>
      </c>
      <c r="F151" s="461">
        <v>37948</v>
      </c>
      <c r="H151" t="s">
        <v>463</v>
      </c>
      <c r="I151" t="s">
        <v>540</v>
      </c>
      <c r="J151" t="s">
        <v>541</v>
      </c>
      <c r="K151" t="s">
        <v>1787</v>
      </c>
      <c r="L151" t="s">
        <v>1788</v>
      </c>
      <c r="M151" t="s">
        <v>1789</v>
      </c>
      <c r="O151" t="s">
        <v>1790</v>
      </c>
      <c r="P151" t="s">
        <v>1791</v>
      </c>
      <c r="Q151" s="461">
        <v>44612</v>
      </c>
      <c r="R151" s="461">
        <v>44612</v>
      </c>
      <c r="S151" s="461">
        <v>44604</v>
      </c>
      <c r="T151" t="s">
        <v>471</v>
      </c>
    </row>
    <row r="152" spans="1:20" x14ac:dyDescent="0.25">
      <c r="A152" t="s">
        <v>1792</v>
      </c>
      <c r="B152" t="s">
        <v>1793</v>
      </c>
      <c r="C152" t="s">
        <v>1794</v>
      </c>
      <c r="D152" t="s">
        <v>1795</v>
      </c>
      <c r="F152" s="461">
        <v>37917</v>
      </c>
      <c r="H152" t="s">
        <v>463</v>
      </c>
      <c r="I152" t="s">
        <v>1438</v>
      </c>
      <c r="J152" t="s">
        <v>541</v>
      </c>
      <c r="K152" t="s">
        <v>1796</v>
      </c>
      <c r="L152" t="s">
        <v>1797</v>
      </c>
      <c r="M152" t="s">
        <v>1798</v>
      </c>
      <c r="O152" t="s">
        <v>1799</v>
      </c>
      <c r="P152" t="s">
        <v>1800</v>
      </c>
      <c r="Q152" s="461">
        <v>44581</v>
      </c>
      <c r="R152" s="461">
        <v>44581</v>
      </c>
      <c r="S152" s="461">
        <v>44581</v>
      </c>
      <c r="T152" t="s">
        <v>471</v>
      </c>
    </row>
    <row r="153" spans="1:20" x14ac:dyDescent="0.25">
      <c r="A153" t="s">
        <v>1801</v>
      </c>
      <c r="B153" t="s">
        <v>1802</v>
      </c>
      <c r="C153" t="s">
        <v>1803</v>
      </c>
      <c r="D153" t="s">
        <v>1804</v>
      </c>
      <c r="F153" s="461">
        <v>37642</v>
      </c>
      <c r="H153" t="s">
        <v>463</v>
      </c>
      <c r="I153" t="s">
        <v>516</v>
      </c>
      <c r="J153" t="s">
        <v>465</v>
      </c>
      <c r="K153" t="s">
        <v>1805</v>
      </c>
      <c r="L153" t="s">
        <v>1806</v>
      </c>
      <c r="M153" t="s">
        <v>1807</v>
      </c>
      <c r="O153" t="s">
        <v>1808</v>
      </c>
      <c r="P153" t="s">
        <v>1809</v>
      </c>
      <c r="Q153" s="461">
        <v>44612</v>
      </c>
      <c r="R153" s="461">
        <v>44612</v>
      </c>
      <c r="S153" s="461">
        <v>44603</v>
      </c>
      <c r="T153" t="s">
        <v>471</v>
      </c>
    </row>
    <row r="154" spans="1:20" x14ac:dyDescent="0.25">
      <c r="A154" t="s">
        <v>1810</v>
      </c>
      <c r="B154" t="s">
        <v>1811</v>
      </c>
      <c r="C154" t="s">
        <v>1803</v>
      </c>
      <c r="D154" t="s">
        <v>1812</v>
      </c>
      <c r="F154" s="461">
        <v>34584</v>
      </c>
      <c r="G154">
        <v>378391</v>
      </c>
      <c r="H154" t="s">
        <v>463</v>
      </c>
      <c r="I154" t="s">
        <v>551</v>
      </c>
      <c r="J154" t="s">
        <v>529</v>
      </c>
      <c r="K154" t="s">
        <v>1813</v>
      </c>
      <c r="L154" t="s">
        <v>1814</v>
      </c>
      <c r="M154" t="s">
        <v>1815</v>
      </c>
      <c r="O154" t="s">
        <v>1816</v>
      </c>
      <c r="P154" t="s">
        <v>1809</v>
      </c>
      <c r="Q154" s="461">
        <v>43195</v>
      </c>
      <c r="R154" s="461">
        <v>43195</v>
      </c>
      <c r="S154" s="461">
        <v>43195</v>
      </c>
      <c r="T154" t="s">
        <v>471</v>
      </c>
    </row>
    <row r="155" spans="1:20" x14ac:dyDescent="0.25">
      <c r="A155" t="s">
        <v>1817</v>
      </c>
      <c r="B155" t="s">
        <v>1818</v>
      </c>
      <c r="C155" t="s">
        <v>1803</v>
      </c>
      <c r="D155" t="s">
        <v>1819</v>
      </c>
      <c r="F155" s="461">
        <v>36136</v>
      </c>
      <c r="G155">
        <v>764588</v>
      </c>
      <c r="H155" t="s">
        <v>476</v>
      </c>
      <c r="J155" t="s">
        <v>541</v>
      </c>
      <c r="K155" t="s">
        <v>1820</v>
      </c>
      <c r="L155" t="s">
        <v>1821</v>
      </c>
      <c r="M155" t="s">
        <v>1822</v>
      </c>
      <c r="O155" t="s">
        <v>1823</v>
      </c>
      <c r="P155" t="s">
        <v>1809</v>
      </c>
      <c r="Q155" s="461">
        <v>43794</v>
      </c>
      <c r="R155" s="461">
        <v>43794</v>
      </c>
      <c r="S155" s="461"/>
      <c r="T155" t="s">
        <v>483</v>
      </c>
    </row>
    <row r="156" spans="1:20" x14ac:dyDescent="0.25">
      <c r="A156" t="s">
        <v>1824</v>
      </c>
      <c r="B156" t="s">
        <v>1825</v>
      </c>
      <c r="C156" t="s">
        <v>1826</v>
      </c>
      <c r="D156" t="s">
        <v>1827</v>
      </c>
      <c r="F156" s="461">
        <v>35842</v>
      </c>
      <c r="H156" t="s">
        <v>463</v>
      </c>
      <c r="I156" t="s">
        <v>685</v>
      </c>
      <c r="J156" t="s">
        <v>541</v>
      </c>
      <c r="K156" t="s">
        <v>1828</v>
      </c>
      <c r="L156" t="s">
        <v>1829</v>
      </c>
      <c r="M156" t="s">
        <v>1830</v>
      </c>
      <c r="O156" t="s">
        <v>1831</v>
      </c>
      <c r="P156" t="s">
        <v>1832</v>
      </c>
      <c r="Q156" s="461">
        <v>44602</v>
      </c>
      <c r="R156" s="461">
        <v>44602</v>
      </c>
      <c r="S156" s="461">
        <v>44599</v>
      </c>
      <c r="T156" t="s">
        <v>483</v>
      </c>
    </row>
    <row r="157" spans="1:20" x14ac:dyDescent="0.25">
      <c r="A157" t="s">
        <v>1833</v>
      </c>
      <c r="B157" t="s">
        <v>1834</v>
      </c>
      <c r="C157" t="s">
        <v>1835</v>
      </c>
      <c r="D157" t="s">
        <v>1836</v>
      </c>
      <c r="F157" s="461">
        <v>29746</v>
      </c>
      <c r="H157" t="s">
        <v>835</v>
      </c>
      <c r="I157" t="s">
        <v>694</v>
      </c>
      <c r="J157" t="s">
        <v>529</v>
      </c>
      <c r="K157" t="s">
        <v>1837</v>
      </c>
      <c r="L157" t="s">
        <v>1838</v>
      </c>
      <c r="M157" t="s">
        <v>1839</v>
      </c>
      <c r="O157" t="s">
        <v>1840</v>
      </c>
      <c r="P157" t="s">
        <v>1841</v>
      </c>
      <c r="Q157" s="461">
        <v>44800</v>
      </c>
      <c r="R157" s="461">
        <v>44800</v>
      </c>
      <c r="S157" s="461">
        <v>44799</v>
      </c>
      <c r="T157" t="s">
        <v>471</v>
      </c>
    </row>
    <row r="158" spans="1:20" x14ac:dyDescent="0.25">
      <c r="A158" t="s">
        <v>1842</v>
      </c>
      <c r="B158" t="s">
        <v>1843</v>
      </c>
      <c r="C158" t="s">
        <v>1844</v>
      </c>
      <c r="D158" t="s">
        <v>1845</v>
      </c>
      <c r="F158" s="461">
        <v>37634</v>
      </c>
      <c r="H158" t="s">
        <v>463</v>
      </c>
      <c r="I158" t="s">
        <v>641</v>
      </c>
      <c r="J158" t="s">
        <v>465</v>
      </c>
      <c r="K158" t="s">
        <v>1846</v>
      </c>
      <c r="L158" t="s">
        <v>1847</v>
      </c>
      <c r="M158" t="s">
        <v>1848</v>
      </c>
      <c r="O158" t="s">
        <v>1849</v>
      </c>
      <c r="P158" t="s">
        <v>1850</v>
      </c>
      <c r="Q158" s="461">
        <v>44802</v>
      </c>
      <c r="R158" s="461">
        <v>44802</v>
      </c>
      <c r="S158" s="461">
        <v>44800</v>
      </c>
      <c r="T158" t="s">
        <v>483</v>
      </c>
    </row>
    <row r="159" spans="1:20" x14ac:dyDescent="0.25">
      <c r="A159" t="s">
        <v>1851</v>
      </c>
      <c r="B159" t="s">
        <v>1852</v>
      </c>
      <c r="C159" t="s">
        <v>1853</v>
      </c>
      <c r="D159" t="s">
        <v>1854</v>
      </c>
      <c r="F159" s="461">
        <v>33977</v>
      </c>
      <c r="G159">
        <v>2062148</v>
      </c>
      <c r="H159" t="s">
        <v>463</v>
      </c>
      <c r="I159" t="s">
        <v>737</v>
      </c>
      <c r="J159" t="s">
        <v>541</v>
      </c>
      <c r="K159" t="s">
        <v>1855</v>
      </c>
      <c r="L159" t="s">
        <v>1856</v>
      </c>
      <c r="M159" t="s">
        <v>1857</v>
      </c>
      <c r="O159" t="s">
        <v>1858</v>
      </c>
      <c r="P159" t="s">
        <v>1859</v>
      </c>
      <c r="Q159" s="461">
        <v>44612</v>
      </c>
      <c r="R159" s="461">
        <v>44612</v>
      </c>
      <c r="S159" s="461">
        <v>44606</v>
      </c>
      <c r="T159" t="s">
        <v>471</v>
      </c>
    </row>
    <row r="160" spans="1:20" x14ac:dyDescent="0.25">
      <c r="A160" t="s">
        <v>1860</v>
      </c>
      <c r="B160" t="s">
        <v>1861</v>
      </c>
      <c r="C160" t="s">
        <v>1862</v>
      </c>
      <c r="D160" t="s">
        <v>1863</v>
      </c>
      <c r="F160" s="461">
        <v>37701</v>
      </c>
      <c r="H160" t="s">
        <v>476</v>
      </c>
      <c r="J160" t="s">
        <v>465</v>
      </c>
      <c r="K160" t="s">
        <v>1864</v>
      </c>
      <c r="L160" t="s">
        <v>1865</v>
      </c>
      <c r="M160" t="s">
        <v>1866</v>
      </c>
      <c r="O160" t="s">
        <v>1867</v>
      </c>
      <c r="P160" t="s">
        <v>1868</v>
      </c>
      <c r="Q160" s="461">
        <v>43818</v>
      </c>
      <c r="R160" s="461">
        <v>43818</v>
      </c>
      <c r="S160" s="461">
        <v>43818</v>
      </c>
      <c r="T160" t="s">
        <v>471</v>
      </c>
    </row>
    <row r="161" spans="1:20" x14ac:dyDescent="0.25">
      <c r="A161" t="s">
        <v>1869</v>
      </c>
      <c r="B161" t="s">
        <v>1870</v>
      </c>
      <c r="C161" t="s">
        <v>1871</v>
      </c>
      <c r="D161" t="s">
        <v>1872</v>
      </c>
      <c r="F161" s="461">
        <v>34409</v>
      </c>
      <c r="G161">
        <v>1180097</v>
      </c>
      <c r="H161" t="s">
        <v>476</v>
      </c>
      <c r="J161" t="s">
        <v>541</v>
      </c>
      <c r="K161" t="s">
        <v>1873</v>
      </c>
      <c r="L161" t="s">
        <v>1874</v>
      </c>
      <c r="M161" t="s">
        <v>1875</v>
      </c>
      <c r="O161" t="s">
        <v>1876</v>
      </c>
      <c r="P161" t="s">
        <v>1877</v>
      </c>
      <c r="Q161" s="461">
        <v>43461</v>
      </c>
      <c r="R161" s="461">
        <v>43461</v>
      </c>
      <c r="S161" s="461"/>
      <c r="T161" t="s">
        <v>483</v>
      </c>
    </row>
    <row r="162" spans="1:20" x14ac:dyDescent="0.25">
      <c r="A162" t="s">
        <v>1878</v>
      </c>
      <c r="B162" t="s">
        <v>1879</v>
      </c>
      <c r="C162" t="s">
        <v>1880</v>
      </c>
      <c r="D162" t="s">
        <v>1881</v>
      </c>
      <c r="F162" s="461">
        <v>34606</v>
      </c>
      <c r="G162">
        <v>1129862</v>
      </c>
      <c r="H162" t="s">
        <v>463</v>
      </c>
      <c r="I162" t="s">
        <v>551</v>
      </c>
      <c r="J162" t="s">
        <v>465</v>
      </c>
      <c r="K162" t="s">
        <v>1882</v>
      </c>
      <c r="L162" t="s">
        <v>1883</v>
      </c>
      <c r="M162" t="s">
        <v>1884</v>
      </c>
      <c r="O162" t="s">
        <v>1885</v>
      </c>
      <c r="P162" t="s">
        <v>1886</v>
      </c>
      <c r="Q162" s="461">
        <v>42072</v>
      </c>
      <c r="R162" s="461">
        <v>42072</v>
      </c>
      <c r="S162" s="461">
        <v>42071</v>
      </c>
      <c r="T162" t="s">
        <v>471</v>
      </c>
    </row>
    <row r="163" spans="1:20" x14ac:dyDescent="0.25">
      <c r="A163" t="s">
        <v>1887</v>
      </c>
      <c r="B163" t="s">
        <v>1888</v>
      </c>
      <c r="C163" t="s">
        <v>1880</v>
      </c>
      <c r="D163" t="s">
        <v>1889</v>
      </c>
      <c r="F163" s="461">
        <v>34511</v>
      </c>
      <c r="G163">
        <v>755103</v>
      </c>
      <c r="H163" t="s">
        <v>527</v>
      </c>
      <c r="I163" t="s">
        <v>641</v>
      </c>
      <c r="J163" t="s">
        <v>541</v>
      </c>
      <c r="K163" t="s">
        <v>1890</v>
      </c>
      <c r="L163" t="s">
        <v>1891</v>
      </c>
      <c r="M163" t="s">
        <v>1892</v>
      </c>
      <c r="N163" t="s">
        <v>1893</v>
      </c>
      <c r="O163" t="s">
        <v>1894</v>
      </c>
      <c r="P163" t="s">
        <v>1886</v>
      </c>
      <c r="Q163" s="461">
        <v>42029</v>
      </c>
      <c r="R163" s="461">
        <v>42029</v>
      </c>
      <c r="S163" s="461">
        <v>42028</v>
      </c>
      <c r="T163" t="s">
        <v>483</v>
      </c>
    </row>
    <row r="164" spans="1:20" x14ac:dyDescent="0.25">
      <c r="A164" t="s">
        <v>1895</v>
      </c>
      <c r="B164" t="s">
        <v>1896</v>
      </c>
      <c r="C164" t="s">
        <v>1880</v>
      </c>
      <c r="D164" t="s">
        <v>1897</v>
      </c>
      <c r="F164" s="461">
        <v>35860</v>
      </c>
      <c r="G164">
        <v>1031385</v>
      </c>
      <c r="H164" t="s">
        <v>476</v>
      </c>
      <c r="J164" t="s">
        <v>541</v>
      </c>
      <c r="K164" t="s">
        <v>1898</v>
      </c>
      <c r="L164" t="s">
        <v>1899</v>
      </c>
      <c r="M164" t="s">
        <v>1900</v>
      </c>
      <c r="O164" t="s">
        <v>1901</v>
      </c>
      <c r="P164" t="s">
        <v>1886</v>
      </c>
      <c r="Q164" s="461">
        <v>44154</v>
      </c>
      <c r="R164" s="461">
        <v>44154</v>
      </c>
      <c r="S164" s="461">
        <v>44153</v>
      </c>
      <c r="T164" t="s">
        <v>483</v>
      </c>
    </row>
    <row r="165" spans="1:20" x14ac:dyDescent="0.25">
      <c r="A165" t="s">
        <v>1902</v>
      </c>
      <c r="B165" t="s">
        <v>1903</v>
      </c>
      <c r="C165" t="s">
        <v>1880</v>
      </c>
      <c r="D165" t="s">
        <v>1904</v>
      </c>
      <c r="F165" s="461">
        <v>34480</v>
      </c>
      <c r="I165" t="s">
        <v>641</v>
      </c>
      <c r="J165" t="s">
        <v>541</v>
      </c>
      <c r="K165" t="s">
        <v>1905</v>
      </c>
      <c r="L165" t="s">
        <v>1891</v>
      </c>
      <c r="M165" t="s">
        <v>1906</v>
      </c>
      <c r="O165" t="s">
        <v>1907</v>
      </c>
      <c r="P165" t="s">
        <v>1908</v>
      </c>
      <c r="Q165" s="461">
        <v>44612</v>
      </c>
      <c r="R165" s="461">
        <v>44612</v>
      </c>
      <c r="S165" s="461"/>
      <c r="T165" t="s">
        <v>471</v>
      </c>
    </row>
    <row r="166" spans="1:20" x14ac:dyDescent="0.25">
      <c r="A166" t="s">
        <v>1909</v>
      </c>
      <c r="B166" t="s">
        <v>1910</v>
      </c>
      <c r="C166" t="s">
        <v>1880</v>
      </c>
      <c r="D166" t="s">
        <v>1586</v>
      </c>
      <c r="F166" s="461">
        <v>35464</v>
      </c>
      <c r="H166" t="s">
        <v>463</v>
      </c>
      <c r="I166" t="s">
        <v>836</v>
      </c>
      <c r="J166" t="s">
        <v>541</v>
      </c>
      <c r="K166" t="s">
        <v>1911</v>
      </c>
      <c r="L166" t="s">
        <v>1912</v>
      </c>
      <c r="M166" t="s">
        <v>1913</v>
      </c>
      <c r="O166" t="s">
        <v>1914</v>
      </c>
      <c r="P166" t="s">
        <v>1886</v>
      </c>
      <c r="Q166" s="461">
        <v>44802</v>
      </c>
      <c r="R166" s="461">
        <v>44802</v>
      </c>
      <c r="S166" s="461">
        <v>44800</v>
      </c>
      <c r="T166" t="s">
        <v>471</v>
      </c>
    </row>
    <row r="167" spans="1:20" x14ac:dyDescent="0.25">
      <c r="A167" t="s">
        <v>1915</v>
      </c>
      <c r="B167" t="s">
        <v>1916</v>
      </c>
      <c r="C167" t="s">
        <v>1880</v>
      </c>
      <c r="D167" t="s">
        <v>1917</v>
      </c>
      <c r="F167" s="461">
        <v>32431</v>
      </c>
      <c r="G167">
        <v>1607293</v>
      </c>
      <c r="H167" t="s">
        <v>463</v>
      </c>
      <c r="I167" t="s">
        <v>464</v>
      </c>
      <c r="J167" t="s">
        <v>541</v>
      </c>
      <c r="K167" t="s">
        <v>1918</v>
      </c>
      <c r="L167" t="s">
        <v>1919</v>
      </c>
      <c r="M167" t="s">
        <v>1920</v>
      </c>
      <c r="O167" t="s">
        <v>1921</v>
      </c>
      <c r="P167" t="s">
        <v>1886</v>
      </c>
      <c r="Q167" s="461">
        <v>42012</v>
      </c>
      <c r="R167" s="461">
        <v>43503</v>
      </c>
      <c r="S167" s="461">
        <v>43502</v>
      </c>
      <c r="T167" t="s">
        <v>471</v>
      </c>
    </row>
    <row r="168" spans="1:20" x14ac:dyDescent="0.25">
      <c r="A168" t="s">
        <v>1922</v>
      </c>
      <c r="B168" t="s">
        <v>1923</v>
      </c>
      <c r="C168" t="s">
        <v>1924</v>
      </c>
      <c r="D168" t="s">
        <v>1925</v>
      </c>
      <c r="F168" s="461">
        <v>35693</v>
      </c>
      <c r="G168">
        <v>-1086719</v>
      </c>
      <c r="J168" t="s">
        <v>529</v>
      </c>
      <c r="K168" t="s">
        <v>1926</v>
      </c>
      <c r="L168" t="s">
        <v>1927</v>
      </c>
      <c r="N168" t="s">
        <v>1928</v>
      </c>
      <c r="O168" t="s">
        <v>1929</v>
      </c>
      <c r="P168" t="s">
        <v>1930</v>
      </c>
      <c r="Q168" s="461">
        <v>44179</v>
      </c>
      <c r="R168" s="461">
        <v>44179</v>
      </c>
      <c r="S168" s="461">
        <v>44160</v>
      </c>
      <c r="T168" t="s">
        <v>471</v>
      </c>
    </row>
    <row r="169" spans="1:20" x14ac:dyDescent="0.25">
      <c r="A169" t="s">
        <v>1931</v>
      </c>
      <c r="B169" t="s">
        <v>1932</v>
      </c>
      <c r="C169" t="s">
        <v>1933</v>
      </c>
      <c r="D169" t="s">
        <v>1934</v>
      </c>
      <c r="F169" s="461">
        <v>34426</v>
      </c>
      <c r="G169">
        <v>815952</v>
      </c>
      <c r="H169" t="s">
        <v>463</v>
      </c>
      <c r="I169" t="s">
        <v>551</v>
      </c>
      <c r="J169" t="s">
        <v>541</v>
      </c>
      <c r="K169" t="s">
        <v>1935</v>
      </c>
      <c r="L169" t="s">
        <v>1936</v>
      </c>
      <c r="M169" t="s">
        <v>1937</v>
      </c>
      <c r="O169" t="s">
        <v>1938</v>
      </c>
      <c r="P169" t="s">
        <v>1939</v>
      </c>
      <c r="Q169" s="461">
        <v>42476</v>
      </c>
      <c r="R169" s="461">
        <v>43034</v>
      </c>
      <c r="S169" s="461">
        <v>42476</v>
      </c>
      <c r="T169" t="s">
        <v>471</v>
      </c>
    </row>
    <row r="170" spans="1:20" x14ac:dyDescent="0.25">
      <c r="A170" t="s">
        <v>1940</v>
      </c>
      <c r="B170" t="s">
        <v>1941</v>
      </c>
      <c r="C170" t="s">
        <v>1942</v>
      </c>
      <c r="D170" t="s">
        <v>1943</v>
      </c>
      <c r="E170" t="s">
        <v>1944</v>
      </c>
      <c r="F170" s="461">
        <v>30790</v>
      </c>
      <c r="G170">
        <v>1312673</v>
      </c>
      <c r="H170" t="s">
        <v>463</v>
      </c>
      <c r="I170" t="s">
        <v>836</v>
      </c>
      <c r="J170" t="s">
        <v>465</v>
      </c>
      <c r="K170" t="s">
        <v>1945</v>
      </c>
      <c r="L170" t="s">
        <v>1946</v>
      </c>
      <c r="M170" t="s">
        <v>1947</v>
      </c>
      <c r="O170" t="s">
        <v>1948</v>
      </c>
      <c r="P170" t="s">
        <v>1949</v>
      </c>
      <c r="Q170" s="461">
        <v>42813</v>
      </c>
      <c r="R170" s="461">
        <v>43034</v>
      </c>
      <c r="S170" s="461">
        <v>42813</v>
      </c>
      <c r="T170" t="s">
        <v>471</v>
      </c>
    </row>
    <row r="171" spans="1:20" x14ac:dyDescent="0.25">
      <c r="A171" t="s">
        <v>1950</v>
      </c>
      <c r="B171" t="s">
        <v>1951</v>
      </c>
      <c r="C171" t="s">
        <v>1952</v>
      </c>
      <c r="D171" t="s">
        <v>1953</v>
      </c>
      <c r="F171" s="461">
        <v>18739</v>
      </c>
      <c r="H171" t="s">
        <v>931</v>
      </c>
      <c r="I171" t="s">
        <v>694</v>
      </c>
      <c r="J171" t="s">
        <v>497</v>
      </c>
      <c r="K171" t="s">
        <v>1954</v>
      </c>
      <c r="L171" t="s">
        <v>1955</v>
      </c>
      <c r="M171" t="s">
        <v>1956</v>
      </c>
      <c r="O171" t="s">
        <v>1957</v>
      </c>
      <c r="P171" t="s">
        <v>1958</v>
      </c>
      <c r="Q171" s="461">
        <v>44800</v>
      </c>
      <c r="R171" s="461">
        <v>44800</v>
      </c>
      <c r="S171" s="461">
        <v>44799</v>
      </c>
      <c r="T171" t="s">
        <v>471</v>
      </c>
    </row>
    <row r="172" spans="1:20" x14ac:dyDescent="0.25">
      <c r="A172" t="s">
        <v>1959</v>
      </c>
      <c r="B172" t="s">
        <v>1960</v>
      </c>
      <c r="C172" t="s">
        <v>1961</v>
      </c>
      <c r="D172" t="s">
        <v>1962</v>
      </c>
      <c r="F172" s="461">
        <v>34801</v>
      </c>
      <c r="G172">
        <v>843319</v>
      </c>
      <c r="H172" t="s">
        <v>463</v>
      </c>
      <c r="I172" t="s">
        <v>551</v>
      </c>
      <c r="J172" t="s">
        <v>529</v>
      </c>
      <c r="K172" t="s">
        <v>1963</v>
      </c>
      <c r="L172" t="s">
        <v>1964</v>
      </c>
      <c r="M172" t="s">
        <v>1965</v>
      </c>
      <c r="O172" t="s">
        <v>1966</v>
      </c>
      <c r="P172" t="s">
        <v>1967</v>
      </c>
      <c r="Q172" s="461">
        <v>43902</v>
      </c>
      <c r="R172" s="461">
        <v>43902</v>
      </c>
      <c r="S172" s="461">
        <v>43899</v>
      </c>
      <c r="T172" t="s">
        <v>471</v>
      </c>
    </row>
    <row r="173" spans="1:20" x14ac:dyDescent="0.25">
      <c r="A173" t="s">
        <v>1968</v>
      </c>
      <c r="B173" t="s">
        <v>1969</v>
      </c>
      <c r="C173" t="s">
        <v>1942</v>
      </c>
      <c r="D173" t="s">
        <v>754</v>
      </c>
      <c r="E173" t="s">
        <v>1970</v>
      </c>
      <c r="F173" s="461">
        <v>31326</v>
      </c>
      <c r="H173" t="s">
        <v>463</v>
      </c>
      <c r="I173" t="s">
        <v>675</v>
      </c>
      <c r="J173" t="s">
        <v>541</v>
      </c>
      <c r="K173" t="s">
        <v>1971</v>
      </c>
      <c r="L173" t="s">
        <v>1972</v>
      </c>
      <c r="M173" t="s">
        <v>1973</v>
      </c>
      <c r="O173" t="s">
        <v>1974</v>
      </c>
      <c r="P173" t="s">
        <v>1949</v>
      </c>
      <c r="Q173" s="461">
        <v>44963</v>
      </c>
      <c r="R173" s="461">
        <v>44963</v>
      </c>
      <c r="S173" s="461">
        <v>44961</v>
      </c>
      <c r="T173" t="s">
        <v>471</v>
      </c>
    </row>
    <row r="174" spans="1:20" x14ac:dyDescent="0.25">
      <c r="A174" t="s">
        <v>1975</v>
      </c>
      <c r="B174" t="s">
        <v>1976</v>
      </c>
      <c r="C174" t="s">
        <v>1977</v>
      </c>
      <c r="D174" t="s">
        <v>1978</v>
      </c>
      <c r="F174" s="461">
        <v>36962</v>
      </c>
      <c r="H174" t="s">
        <v>463</v>
      </c>
      <c r="I174" t="s">
        <v>631</v>
      </c>
      <c r="J174" t="s">
        <v>541</v>
      </c>
      <c r="K174" t="s">
        <v>1979</v>
      </c>
      <c r="L174" t="s">
        <v>1980</v>
      </c>
      <c r="M174" t="s">
        <v>1981</v>
      </c>
      <c r="O174" t="s">
        <v>1982</v>
      </c>
      <c r="P174" t="s">
        <v>1983</v>
      </c>
      <c r="Q174" s="461">
        <v>44574</v>
      </c>
      <c r="R174" s="461">
        <v>44574</v>
      </c>
      <c r="S174" s="461">
        <v>44569</v>
      </c>
      <c r="T174" t="s">
        <v>483</v>
      </c>
    </row>
    <row r="175" spans="1:20" x14ac:dyDescent="0.25">
      <c r="A175" t="s">
        <v>1984</v>
      </c>
      <c r="B175" t="s">
        <v>1985</v>
      </c>
      <c r="C175" t="s">
        <v>1986</v>
      </c>
      <c r="D175" t="s">
        <v>702</v>
      </c>
      <c r="F175" s="461">
        <v>26530</v>
      </c>
      <c r="H175" t="s">
        <v>463</v>
      </c>
      <c r="I175" t="s">
        <v>703</v>
      </c>
      <c r="J175" t="s">
        <v>541</v>
      </c>
      <c r="K175" t="s">
        <v>1987</v>
      </c>
      <c r="L175" t="s">
        <v>705</v>
      </c>
      <c r="M175" t="s">
        <v>1988</v>
      </c>
      <c r="O175" t="s">
        <v>1989</v>
      </c>
      <c r="P175" t="s">
        <v>1990</v>
      </c>
      <c r="Q175" s="461">
        <v>42038</v>
      </c>
      <c r="R175" s="461">
        <v>42038</v>
      </c>
      <c r="S175" s="461">
        <v>42037</v>
      </c>
      <c r="T175" t="s">
        <v>471</v>
      </c>
    </row>
    <row r="176" spans="1:20" x14ac:dyDescent="0.25">
      <c r="A176" t="s">
        <v>1991</v>
      </c>
      <c r="B176" t="s">
        <v>1992</v>
      </c>
      <c r="C176" t="s">
        <v>1993</v>
      </c>
      <c r="D176" t="s">
        <v>1994</v>
      </c>
      <c r="F176" s="461">
        <v>36519</v>
      </c>
      <c r="G176">
        <v>1183753</v>
      </c>
      <c r="H176" t="s">
        <v>476</v>
      </c>
      <c r="J176" t="s">
        <v>465</v>
      </c>
      <c r="K176" t="s">
        <v>1995</v>
      </c>
      <c r="L176" t="s">
        <v>1996</v>
      </c>
      <c r="M176" t="s">
        <v>1997</v>
      </c>
      <c r="O176" t="s">
        <v>1998</v>
      </c>
      <c r="P176" t="s">
        <v>1999</v>
      </c>
      <c r="Q176" s="461">
        <v>42708</v>
      </c>
      <c r="R176" s="461">
        <v>43034</v>
      </c>
      <c r="S176" s="461"/>
      <c r="T176" t="s">
        <v>471</v>
      </c>
    </row>
    <row r="177" spans="1:20" x14ac:dyDescent="0.25">
      <c r="A177" t="s">
        <v>2000</v>
      </c>
      <c r="B177" t="s">
        <v>2001</v>
      </c>
      <c r="C177" t="s">
        <v>2002</v>
      </c>
      <c r="D177" t="s">
        <v>2003</v>
      </c>
      <c r="E177" t="s">
        <v>2004</v>
      </c>
      <c r="F177" s="461">
        <v>32746</v>
      </c>
      <c r="H177" t="s">
        <v>463</v>
      </c>
      <c r="I177" t="s">
        <v>675</v>
      </c>
      <c r="J177" t="s">
        <v>465</v>
      </c>
      <c r="K177" t="s">
        <v>2005</v>
      </c>
      <c r="L177" t="s">
        <v>2006</v>
      </c>
      <c r="M177" t="s">
        <v>2007</v>
      </c>
      <c r="O177" t="s">
        <v>2008</v>
      </c>
      <c r="P177" t="s">
        <v>2009</v>
      </c>
      <c r="Q177" s="461">
        <v>44963</v>
      </c>
      <c r="R177" s="461">
        <v>44963</v>
      </c>
      <c r="S177" s="461">
        <v>44959</v>
      </c>
      <c r="T177" t="s">
        <v>471</v>
      </c>
    </row>
    <row r="178" spans="1:20" x14ac:dyDescent="0.25">
      <c r="A178" t="s">
        <v>2010</v>
      </c>
      <c r="B178" t="s">
        <v>2011</v>
      </c>
      <c r="C178" t="s">
        <v>2002</v>
      </c>
      <c r="D178" t="s">
        <v>2012</v>
      </c>
      <c r="F178" s="461">
        <v>31385</v>
      </c>
      <c r="G178">
        <v>401334</v>
      </c>
      <c r="H178" t="s">
        <v>527</v>
      </c>
      <c r="I178" t="s">
        <v>846</v>
      </c>
      <c r="J178" t="s">
        <v>541</v>
      </c>
      <c r="K178" t="s">
        <v>2013</v>
      </c>
      <c r="L178" t="s">
        <v>2014</v>
      </c>
      <c r="M178" t="s">
        <v>2015</v>
      </c>
      <c r="N178" t="s">
        <v>2016</v>
      </c>
      <c r="O178" t="s">
        <v>2017</v>
      </c>
      <c r="P178" t="s">
        <v>2009</v>
      </c>
      <c r="Q178" s="461">
        <v>42032</v>
      </c>
      <c r="R178" s="461">
        <v>42032</v>
      </c>
      <c r="S178" s="461">
        <v>42032</v>
      </c>
      <c r="T178" t="s">
        <v>483</v>
      </c>
    </row>
    <row r="179" spans="1:20" x14ac:dyDescent="0.25">
      <c r="A179" t="s">
        <v>2018</v>
      </c>
      <c r="B179" t="s">
        <v>2019</v>
      </c>
      <c r="C179" t="s">
        <v>2020</v>
      </c>
      <c r="D179" t="s">
        <v>2021</v>
      </c>
      <c r="E179" t="s">
        <v>2022</v>
      </c>
      <c r="F179" s="461">
        <v>27620</v>
      </c>
      <c r="G179">
        <v>119195</v>
      </c>
      <c r="H179" t="s">
        <v>463</v>
      </c>
      <c r="I179" t="s">
        <v>703</v>
      </c>
      <c r="J179" t="s">
        <v>541</v>
      </c>
      <c r="K179" t="s">
        <v>2023</v>
      </c>
      <c r="L179" t="s">
        <v>2024</v>
      </c>
      <c r="M179" t="s">
        <v>2025</v>
      </c>
      <c r="O179" t="s">
        <v>2026</v>
      </c>
      <c r="P179" t="s">
        <v>2027</v>
      </c>
      <c r="Q179" s="461">
        <v>44991</v>
      </c>
      <c r="R179" s="461">
        <v>44991</v>
      </c>
      <c r="S179" s="461">
        <v>44990</v>
      </c>
      <c r="T179" t="s">
        <v>471</v>
      </c>
    </row>
    <row r="180" spans="1:20" x14ac:dyDescent="0.25">
      <c r="A180" t="s">
        <v>2028</v>
      </c>
      <c r="B180" t="s">
        <v>2029</v>
      </c>
      <c r="C180" t="s">
        <v>1986</v>
      </c>
      <c r="D180" t="s">
        <v>2030</v>
      </c>
      <c r="F180" s="461">
        <v>30420</v>
      </c>
      <c r="H180" t="s">
        <v>729</v>
      </c>
      <c r="I180" t="s">
        <v>477</v>
      </c>
      <c r="J180" t="s">
        <v>497</v>
      </c>
      <c r="K180" t="s">
        <v>2031</v>
      </c>
      <c r="L180" t="s">
        <v>2032</v>
      </c>
      <c r="M180" t="s">
        <v>2033</v>
      </c>
      <c r="O180" t="s">
        <v>2034</v>
      </c>
      <c r="P180" t="s">
        <v>1990</v>
      </c>
      <c r="Q180" s="461">
        <v>43500</v>
      </c>
      <c r="R180" s="461">
        <v>43500</v>
      </c>
      <c r="S180" s="461">
        <v>43499</v>
      </c>
      <c r="T180" t="s">
        <v>471</v>
      </c>
    </row>
    <row r="181" spans="1:20" x14ac:dyDescent="0.25">
      <c r="A181" t="s">
        <v>2035</v>
      </c>
      <c r="B181" t="s">
        <v>2036</v>
      </c>
      <c r="C181" t="s">
        <v>2037</v>
      </c>
      <c r="D181" t="s">
        <v>2038</v>
      </c>
      <c r="F181" s="461">
        <v>31791</v>
      </c>
      <c r="G181">
        <v>449518</v>
      </c>
      <c r="H181" t="s">
        <v>463</v>
      </c>
      <c r="I181" t="s">
        <v>641</v>
      </c>
      <c r="J181" t="s">
        <v>465</v>
      </c>
      <c r="K181" t="s">
        <v>2039</v>
      </c>
      <c r="L181" t="s">
        <v>2040</v>
      </c>
      <c r="M181" t="s">
        <v>2041</v>
      </c>
      <c r="N181" t="s">
        <v>2042</v>
      </c>
      <c r="O181" t="s">
        <v>2043</v>
      </c>
      <c r="P181" t="s">
        <v>2044</v>
      </c>
      <c r="Q181" s="461">
        <v>42011</v>
      </c>
      <c r="R181" s="461">
        <v>42011</v>
      </c>
      <c r="S181" s="461">
        <v>42011</v>
      </c>
      <c r="T181" t="s">
        <v>471</v>
      </c>
    </row>
    <row r="182" spans="1:20" x14ac:dyDescent="0.25">
      <c r="A182" t="s">
        <v>2045</v>
      </c>
      <c r="B182" t="s">
        <v>2046</v>
      </c>
      <c r="C182" t="s">
        <v>1933</v>
      </c>
      <c r="D182" t="s">
        <v>2047</v>
      </c>
      <c r="E182" t="s">
        <v>2048</v>
      </c>
      <c r="F182" s="461">
        <v>37830</v>
      </c>
      <c r="G182">
        <v>1245702</v>
      </c>
      <c r="H182" t="s">
        <v>463</v>
      </c>
      <c r="I182" t="s">
        <v>641</v>
      </c>
      <c r="J182" t="s">
        <v>465</v>
      </c>
      <c r="K182" t="s">
        <v>2049</v>
      </c>
      <c r="L182" t="s">
        <v>2050</v>
      </c>
      <c r="M182" t="s">
        <v>2051</v>
      </c>
      <c r="O182" t="s">
        <v>2052</v>
      </c>
      <c r="P182" t="s">
        <v>1939</v>
      </c>
      <c r="Q182" s="461">
        <v>45000</v>
      </c>
      <c r="R182" s="461">
        <v>45000</v>
      </c>
      <c r="S182" s="461">
        <v>44999</v>
      </c>
      <c r="T182" t="s">
        <v>483</v>
      </c>
    </row>
    <row r="183" spans="1:20" x14ac:dyDescent="0.25">
      <c r="A183" t="s">
        <v>2053</v>
      </c>
      <c r="B183" t="s">
        <v>2054</v>
      </c>
      <c r="C183" t="s">
        <v>1933</v>
      </c>
      <c r="D183" t="s">
        <v>1286</v>
      </c>
      <c r="F183" s="461">
        <v>30917</v>
      </c>
      <c r="G183">
        <v>197159</v>
      </c>
      <c r="H183" t="s">
        <v>527</v>
      </c>
      <c r="I183" t="s">
        <v>836</v>
      </c>
      <c r="J183" t="s">
        <v>465</v>
      </c>
      <c r="K183" t="s">
        <v>2055</v>
      </c>
      <c r="L183" t="s">
        <v>2056</v>
      </c>
      <c r="M183" t="s">
        <v>2057</v>
      </c>
      <c r="N183" t="s">
        <v>2058</v>
      </c>
      <c r="O183" t="s">
        <v>2059</v>
      </c>
      <c r="P183" t="s">
        <v>1939</v>
      </c>
      <c r="Q183" s="461">
        <v>41640</v>
      </c>
      <c r="R183" s="461">
        <v>42031</v>
      </c>
      <c r="S183" s="461">
        <v>42030</v>
      </c>
      <c r="T183" t="s">
        <v>471</v>
      </c>
    </row>
    <row r="184" spans="1:20" x14ac:dyDescent="0.25">
      <c r="A184" t="s">
        <v>2060</v>
      </c>
      <c r="B184" t="s">
        <v>2061</v>
      </c>
      <c r="C184" t="s">
        <v>2062</v>
      </c>
      <c r="D184" t="s">
        <v>2063</v>
      </c>
      <c r="F184" s="461">
        <v>31658</v>
      </c>
      <c r="H184" t="s">
        <v>729</v>
      </c>
      <c r="I184" t="s">
        <v>464</v>
      </c>
      <c r="J184" t="s">
        <v>497</v>
      </c>
      <c r="K184" t="s">
        <v>2064</v>
      </c>
      <c r="L184" t="s">
        <v>2065</v>
      </c>
      <c r="M184" t="s">
        <v>2066</v>
      </c>
      <c r="O184" t="s">
        <v>2067</v>
      </c>
      <c r="P184" t="s">
        <v>2068</v>
      </c>
      <c r="Q184" s="461">
        <v>44612</v>
      </c>
      <c r="R184" s="461">
        <v>44612</v>
      </c>
      <c r="S184" s="461">
        <v>44603</v>
      </c>
      <c r="T184" t="s">
        <v>471</v>
      </c>
    </row>
    <row r="185" spans="1:20" x14ac:dyDescent="0.25">
      <c r="A185" t="s">
        <v>2069</v>
      </c>
      <c r="B185" t="s">
        <v>2070</v>
      </c>
      <c r="C185" t="s">
        <v>2071</v>
      </c>
      <c r="D185" t="s">
        <v>2072</v>
      </c>
      <c r="F185" s="461">
        <v>27050</v>
      </c>
      <c r="H185" t="s">
        <v>527</v>
      </c>
      <c r="I185" t="s">
        <v>2073</v>
      </c>
      <c r="J185" t="s">
        <v>541</v>
      </c>
      <c r="K185" t="s">
        <v>2074</v>
      </c>
      <c r="L185" t="s">
        <v>2075</v>
      </c>
      <c r="M185" t="s">
        <v>2076</v>
      </c>
      <c r="O185" t="s">
        <v>2077</v>
      </c>
      <c r="P185" t="s">
        <v>2078</v>
      </c>
      <c r="Q185" s="461">
        <v>43521</v>
      </c>
      <c r="R185" s="461">
        <v>43521</v>
      </c>
      <c r="S185" s="461">
        <v>43511</v>
      </c>
      <c r="T185" t="s">
        <v>471</v>
      </c>
    </row>
    <row r="186" spans="1:20" x14ac:dyDescent="0.25">
      <c r="A186" t="s">
        <v>2079</v>
      </c>
      <c r="B186" t="s">
        <v>2080</v>
      </c>
      <c r="C186" t="s">
        <v>2062</v>
      </c>
      <c r="D186" t="s">
        <v>2081</v>
      </c>
      <c r="E186" t="s">
        <v>2082</v>
      </c>
      <c r="F186" s="461">
        <v>33491</v>
      </c>
      <c r="G186">
        <v>744850</v>
      </c>
      <c r="H186" t="s">
        <v>463</v>
      </c>
      <c r="I186" t="s">
        <v>528</v>
      </c>
      <c r="J186" t="s">
        <v>541</v>
      </c>
      <c r="K186" t="s">
        <v>2083</v>
      </c>
      <c r="L186" t="s">
        <v>2084</v>
      </c>
      <c r="M186" t="s">
        <v>2085</v>
      </c>
      <c r="O186" t="s">
        <v>2086</v>
      </c>
      <c r="P186" t="s">
        <v>2068</v>
      </c>
      <c r="Q186" s="461">
        <v>44612</v>
      </c>
      <c r="R186" s="461">
        <v>44612</v>
      </c>
      <c r="S186" s="461">
        <v>44603</v>
      </c>
      <c r="T186" t="s">
        <v>471</v>
      </c>
    </row>
    <row r="187" spans="1:20" x14ac:dyDescent="0.25">
      <c r="A187" t="s">
        <v>2087</v>
      </c>
      <c r="B187" t="s">
        <v>2088</v>
      </c>
      <c r="C187" t="s">
        <v>2089</v>
      </c>
      <c r="D187" t="s">
        <v>2090</v>
      </c>
      <c r="F187" s="461">
        <v>37890</v>
      </c>
      <c r="H187" t="s">
        <v>463</v>
      </c>
      <c r="I187" t="s">
        <v>694</v>
      </c>
      <c r="J187" t="s">
        <v>541</v>
      </c>
      <c r="K187" t="s">
        <v>2091</v>
      </c>
      <c r="L187" t="s">
        <v>2092</v>
      </c>
      <c r="M187" t="s">
        <v>2093</v>
      </c>
      <c r="O187" t="s">
        <v>2094</v>
      </c>
      <c r="P187" t="s">
        <v>2095</v>
      </c>
      <c r="Q187" s="461">
        <v>44612</v>
      </c>
      <c r="R187" s="461">
        <v>44612</v>
      </c>
      <c r="S187" s="461">
        <v>44612</v>
      </c>
      <c r="T187" t="s">
        <v>471</v>
      </c>
    </row>
    <row r="188" spans="1:20" x14ac:dyDescent="0.25">
      <c r="A188" t="s">
        <v>2096</v>
      </c>
      <c r="B188" t="s">
        <v>2097</v>
      </c>
      <c r="C188" t="s">
        <v>2098</v>
      </c>
      <c r="D188" t="s">
        <v>2099</v>
      </c>
      <c r="F188" s="461">
        <v>33030</v>
      </c>
      <c r="G188">
        <v>776542</v>
      </c>
      <c r="H188" t="s">
        <v>463</v>
      </c>
      <c r="I188" t="s">
        <v>551</v>
      </c>
      <c r="J188" t="s">
        <v>541</v>
      </c>
      <c r="K188" t="s">
        <v>2100</v>
      </c>
      <c r="L188" t="s">
        <v>2101</v>
      </c>
      <c r="M188" t="s">
        <v>2102</v>
      </c>
      <c r="O188" t="s">
        <v>2103</v>
      </c>
      <c r="P188" t="s">
        <v>2104</v>
      </c>
      <c r="Q188" s="461">
        <v>43195</v>
      </c>
      <c r="R188" s="461">
        <v>43195</v>
      </c>
      <c r="S188" s="461">
        <v>43195</v>
      </c>
      <c r="T188" t="s">
        <v>483</v>
      </c>
    </row>
    <row r="189" spans="1:20" x14ac:dyDescent="0.25">
      <c r="A189" t="s">
        <v>2105</v>
      </c>
      <c r="B189" t="s">
        <v>2106</v>
      </c>
      <c r="C189" t="s">
        <v>2107</v>
      </c>
      <c r="D189" t="s">
        <v>2108</v>
      </c>
      <c r="E189" t="s">
        <v>2109</v>
      </c>
      <c r="F189" s="461">
        <v>37984</v>
      </c>
      <c r="G189">
        <v>1127907</v>
      </c>
      <c r="H189" t="s">
        <v>463</v>
      </c>
      <c r="I189" t="s">
        <v>836</v>
      </c>
      <c r="J189" t="s">
        <v>541</v>
      </c>
      <c r="K189" t="s">
        <v>2110</v>
      </c>
      <c r="L189" t="s">
        <v>2111</v>
      </c>
      <c r="M189" t="s">
        <v>2112</v>
      </c>
      <c r="O189" t="s">
        <v>2113</v>
      </c>
      <c r="P189" t="s">
        <v>2114</v>
      </c>
      <c r="Q189" s="461">
        <v>44965</v>
      </c>
      <c r="R189" s="461">
        <v>44965</v>
      </c>
      <c r="S189" s="461">
        <v>44963</v>
      </c>
      <c r="T189" t="s">
        <v>471</v>
      </c>
    </row>
    <row r="190" spans="1:20" x14ac:dyDescent="0.25">
      <c r="A190" t="s">
        <v>2115</v>
      </c>
      <c r="B190" t="s">
        <v>2116</v>
      </c>
      <c r="C190" t="s">
        <v>2117</v>
      </c>
      <c r="D190" t="s">
        <v>2118</v>
      </c>
      <c r="F190" s="461">
        <v>36944</v>
      </c>
      <c r="H190" t="s">
        <v>476</v>
      </c>
      <c r="J190" t="s">
        <v>541</v>
      </c>
      <c r="K190" t="s">
        <v>2119</v>
      </c>
      <c r="L190" t="s">
        <v>2120</v>
      </c>
      <c r="M190" t="s">
        <v>2121</v>
      </c>
      <c r="O190" t="s">
        <v>2122</v>
      </c>
      <c r="P190" t="s">
        <v>2123</v>
      </c>
      <c r="Q190" s="461">
        <v>44046</v>
      </c>
      <c r="R190" s="461">
        <v>44046</v>
      </c>
      <c r="S190" s="461">
        <v>44041</v>
      </c>
      <c r="T190" t="s">
        <v>471</v>
      </c>
    </row>
    <row r="191" spans="1:20" x14ac:dyDescent="0.25">
      <c r="A191" t="s">
        <v>2124</v>
      </c>
      <c r="B191" t="s">
        <v>2125</v>
      </c>
      <c r="C191" t="s">
        <v>2126</v>
      </c>
      <c r="D191" t="s">
        <v>2127</v>
      </c>
      <c r="F191" s="461">
        <v>37425</v>
      </c>
      <c r="H191" t="s">
        <v>463</v>
      </c>
      <c r="I191" t="s">
        <v>540</v>
      </c>
      <c r="J191" t="s">
        <v>541</v>
      </c>
      <c r="K191" t="s">
        <v>2128</v>
      </c>
      <c r="L191" t="s">
        <v>2129</v>
      </c>
      <c r="M191" t="s">
        <v>2130</v>
      </c>
      <c r="O191" t="s">
        <v>2131</v>
      </c>
      <c r="P191" t="s">
        <v>2132</v>
      </c>
      <c r="Q191" s="461">
        <v>44612</v>
      </c>
      <c r="R191" s="461">
        <v>44612</v>
      </c>
      <c r="S191" s="461">
        <v>44603</v>
      </c>
      <c r="T191" t="s">
        <v>483</v>
      </c>
    </row>
    <row r="192" spans="1:20" x14ac:dyDescent="0.25">
      <c r="A192" t="s">
        <v>2133</v>
      </c>
      <c r="B192" t="s">
        <v>2134</v>
      </c>
      <c r="C192" t="s">
        <v>2135</v>
      </c>
      <c r="D192" t="s">
        <v>2136</v>
      </c>
      <c r="F192" s="461">
        <v>29651</v>
      </c>
      <c r="H192" t="s">
        <v>463</v>
      </c>
      <c r="I192" t="s">
        <v>477</v>
      </c>
      <c r="J192" t="s">
        <v>541</v>
      </c>
      <c r="K192" t="s">
        <v>2137</v>
      </c>
      <c r="L192" t="s">
        <v>2138</v>
      </c>
      <c r="M192" t="s">
        <v>2139</v>
      </c>
      <c r="O192" t="s">
        <v>2140</v>
      </c>
      <c r="P192" t="s">
        <v>2141</v>
      </c>
      <c r="Q192" s="461">
        <v>43486</v>
      </c>
      <c r="R192" s="461">
        <v>43486</v>
      </c>
      <c r="S192" s="461">
        <v>43485</v>
      </c>
      <c r="T192" t="s">
        <v>483</v>
      </c>
    </row>
    <row r="193" spans="1:20" x14ac:dyDescent="0.25">
      <c r="A193" t="s">
        <v>2142</v>
      </c>
      <c r="B193" t="s">
        <v>2143</v>
      </c>
      <c r="C193" t="s">
        <v>2144</v>
      </c>
      <c r="D193" t="s">
        <v>2145</v>
      </c>
      <c r="F193" s="461">
        <v>25719</v>
      </c>
      <c r="G193">
        <v>37746</v>
      </c>
      <c r="H193" t="s">
        <v>527</v>
      </c>
      <c r="I193" t="s">
        <v>2146</v>
      </c>
      <c r="J193" t="s">
        <v>541</v>
      </c>
      <c r="K193" t="s">
        <v>2147</v>
      </c>
      <c r="L193" t="s">
        <v>2148</v>
      </c>
      <c r="N193" t="s">
        <v>2149</v>
      </c>
      <c r="O193" t="s">
        <v>2150</v>
      </c>
      <c r="P193" t="s">
        <v>2151</v>
      </c>
      <c r="Q193" s="461">
        <v>42032</v>
      </c>
      <c r="R193" s="461">
        <v>42032</v>
      </c>
      <c r="S193" s="461">
        <v>42031</v>
      </c>
      <c r="T193" t="s">
        <v>471</v>
      </c>
    </row>
    <row r="194" spans="1:20" x14ac:dyDescent="0.25">
      <c r="A194" t="s">
        <v>2152</v>
      </c>
      <c r="B194" t="s">
        <v>2153</v>
      </c>
      <c r="C194" t="s">
        <v>2144</v>
      </c>
      <c r="D194" t="s">
        <v>2154</v>
      </c>
      <c r="F194" s="461">
        <v>31935</v>
      </c>
      <c r="G194">
        <v>1631053</v>
      </c>
      <c r="H194" t="s">
        <v>463</v>
      </c>
      <c r="I194" t="s">
        <v>551</v>
      </c>
      <c r="J194" t="s">
        <v>529</v>
      </c>
      <c r="K194" t="s">
        <v>2155</v>
      </c>
      <c r="L194" t="s">
        <v>2156</v>
      </c>
      <c r="M194" t="s">
        <v>2157</v>
      </c>
      <c r="O194" t="s">
        <v>2158</v>
      </c>
      <c r="P194" t="s">
        <v>2151</v>
      </c>
      <c r="Q194" s="461">
        <v>42500</v>
      </c>
      <c r="R194" s="461">
        <v>43034</v>
      </c>
      <c r="S194" s="461">
        <v>42500</v>
      </c>
      <c r="T194" t="s">
        <v>471</v>
      </c>
    </row>
    <row r="195" spans="1:20" x14ac:dyDescent="0.25">
      <c r="A195" t="s">
        <v>2159</v>
      </c>
      <c r="B195" t="s">
        <v>2160</v>
      </c>
      <c r="C195" t="s">
        <v>2144</v>
      </c>
      <c r="D195" t="s">
        <v>2161</v>
      </c>
      <c r="F195" s="461">
        <v>32847</v>
      </c>
      <c r="G195">
        <v>1360102</v>
      </c>
      <c r="H195" t="s">
        <v>463</v>
      </c>
      <c r="I195" t="s">
        <v>551</v>
      </c>
      <c r="J195" t="s">
        <v>541</v>
      </c>
      <c r="K195" t="s">
        <v>2162</v>
      </c>
      <c r="L195" t="s">
        <v>2163</v>
      </c>
      <c r="M195" t="s">
        <v>2164</v>
      </c>
      <c r="P195" t="s">
        <v>2165</v>
      </c>
      <c r="Q195" s="461">
        <v>43262</v>
      </c>
      <c r="R195" s="461">
        <v>43262</v>
      </c>
      <c r="S195" s="461">
        <v>43261</v>
      </c>
      <c r="T195" t="s">
        <v>483</v>
      </c>
    </row>
    <row r="196" spans="1:20" x14ac:dyDescent="0.25">
      <c r="A196" t="s">
        <v>2166</v>
      </c>
      <c r="B196" t="s">
        <v>2167</v>
      </c>
      <c r="C196" t="s">
        <v>2168</v>
      </c>
      <c r="D196" t="s">
        <v>1733</v>
      </c>
      <c r="F196" s="461">
        <v>25278</v>
      </c>
      <c r="G196">
        <v>2703353</v>
      </c>
      <c r="H196" t="s">
        <v>527</v>
      </c>
      <c r="I196" t="s">
        <v>1438</v>
      </c>
      <c r="J196" t="s">
        <v>497</v>
      </c>
      <c r="K196" t="s">
        <v>2169</v>
      </c>
      <c r="L196" t="s">
        <v>2170</v>
      </c>
      <c r="M196" t="s">
        <v>2171</v>
      </c>
      <c r="O196" t="s">
        <v>2172</v>
      </c>
      <c r="P196" t="s">
        <v>2173</v>
      </c>
      <c r="Q196" s="461">
        <v>44581</v>
      </c>
      <c r="R196" s="461">
        <v>44581</v>
      </c>
      <c r="S196" s="461">
        <v>44579</v>
      </c>
      <c r="T196" t="s">
        <v>471</v>
      </c>
    </row>
    <row r="197" spans="1:20" x14ac:dyDescent="0.25">
      <c r="A197" t="s">
        <v>2174</v>
      </c>
      <c r="B197" t="s">
        <v>2175</v>
      </c>
      <c r="C197" t="s">
        <v>2176</v>
      </c>
      <c r="D197" t="s">
        <v>2177</v>
      </c>
      <c r="F197" s="461">
        <v>32438</v>
      </c>
      <c r="H197" t="s">
        <v>476</v>
      </c>
      <c r="J197" t="s">
        <v>529</v>
      </c>
      <c r="L197" t="s">
        <v>2178</v>
      </c>
      <c r="M197" t="s">
        <v>2179</v>
      </c>
      <c r="P197" t="s">
        <v>2180</v>
      </c>
      <c r="Q197" s="461">
        <v>44111</v>
      </c>
      <c r="R197" s="461">
        <v>44111</v>
      </c>
      <c r="S197" s="461">
        <v>44107</v>
      </c>
      <c r="T197" t="s">
        <v>471</v>
      </c>
    </row>
    <row r="198" spans="1:20" x14ac:dyDescent="0.25">
      <c r="A198" t="s">
        <v>2181</v>
      </c>
      <c r="B198" t="s">
        <v>2182</v>
      </c>
      <c r="C198" t="s">
        <v>2135</v>
      </c>
      <c r="D198" t="s">
        <v>2183</v>
      </c>
      <c r="F198" s="461">
        <v>35507</v>
      </c>
      <c r="H198" t="s">
        <v>463</v>
      </c>
      <c r="I198" t="s">
        <v>737</v>
      </c>
      <c r="J198" t="s">
        <v>465</v>
      </c>
      <c r="K198" t="s">
        <v>2184</v>
      </c>
      <c r="L198" t="s">
        <v>2185</v>
      </c>
      <c r="M198" t="s">
        <v>2186</v>
      </c>
      <c r="O198" t="s">
        <v>2187</v>
      </c>
      <c r="P198" t="s">
        <v>2141</v>
      </c>
      <c r="Q198" s="461">
        <v>44111</v>
      </c>
      <c r="R198" s="461">
        <v>44111</v>
      </c>
      <c r="S198" s="461">
        <v>44096</v>
      </c>
      <c r="T198" t="s">
        <v>483</v>
      </c>
    </row>
    <row r="199" spans="1:20" x14ac:dyDescent="0.25">
      <c r="A199" t="s">
        <v>2188</v>
      </c>
      <c r="B199" t="s">
        <v>2189</v>
      </c>
      <c r="C199" t="s">
        <v>2168</v>
      </c>
      <c r="D199" t="s">
        <v>2190</v>
      </c>
      <c r="F199" s="461">
        <v>33828</v>
      </c>
      <c r="H199" t="s">
        <v>463</v>
      </c>
      <c r="I199" t="s">
        <v>551</v>
      </c>
      <c r="J199" t="s">
        <v>541</v>
      </c>
      <c r="K199" t="s">
        <v>2191</v>
      </c>
      <c r="L199" t="s">
        <v>2192</v>
      </c>
      <c r="M199" t="s">
        <v>2193</v>
      </c>
      <c r="O199" t="s">
        <v>2194</v>
      </c>
      <c r="P199" t="s">
        <v>2173</v>
      </c>
      <c r="Q199" s="461">
        <v>43264</v>
      </c>
      <c r="R199" s="461">
        <v>43264</v>
      </c>
      <c r="S199" s="461">
        <v>43263</v>
      </c>
      <c r="T199" t="s">
        <v>471</v>
      </c>
    </row>
    <row r="200" spans="1:20" x14ac:dyDescent="0.25">
      <c r="A200" t="s">
        <v>2195</v>
      </c>
      <c r="B200" t="s">
        <v>2196</v>
      </c>
      <c r="C200" t="s">
        <v>2144</v>
      </c>
      <c r="D200" t="s">
        <v>2197</v>
      </c>
      <c r="F200" s="461">
        <v>31557</v>
      </c>
      <c r="G200">
        <v>452899</v>
      </c>
      <c r="H200" t="s">
        <v>463</v>
      </c>
      <c r="I200" t="s">
        <v>551</v>
      </c>
      <c r="J200" t="s">
        <v>465</v>
      </c>
      <c r="K200" t="s">
        <v>2198</v>
      </c>
      <c r="L200" t="s">
        <v>2199</v>
      </c>
      <c r="M200" t="s">
        <v>2200</v>
      </c>
      <c r="O200" t="s">
        <v>2201</v>
      </c>
      <c r="P200" t="s">
        <v>2151</v>
      </c>
      <c r="Q200" s="461">
        <v>43199</v>
      </c>
      <c r="R200" s="461">
        <v>43199</v>
      </c>
      <c r="S200" s="461">
        <v>43195</v>
      </c>
      <c r="T200" t="s">
        <v>471</v>
      </c>
    </row>
    <row r="201" spans="1:20" x14ac:dyDescent="0.25">
      <c r="A201" t="s">
        <v>2202</v>
      </c>
      <c r="B201" t="s">
        <v>2203</v>
      </c>
      <c r="C201" t="s">
        <v>2204</v>
      </c>
      <c r="D201" t="s">
        <v>2205</v>
      </c>
      <c r="F201" s="461">
        <v>30234</v>
      </c>
      <c r="H201" t="s">
        <v>463</v>
      </c>
      <c r="I201" t="s">
        <v>1367</v>
      </c>
      <c r="J201" t="s">
        <v>541</v>
      </c>
      <c r="K201" t="s">
        <v>2206</v>
      </c>
      <c r="L201" t="s">
        <v>2207</v>
      </c>
      <c r="M201" t="s">
        <v>2208</v>
      </c>
      <c r="O201" t="s">
        <v>2209</v>
      </c>
      <c r="P201" t="s">
        <v>2210</v>
      </c>
      <c r="Q201" s="461">
        <v>43490</v>
      </c>
      <c r="R201" s="461">
        <v>43490</v>
      </c>
      <c r="S201" s="461">
        <v>43490</v>
      </c>
      <c r="T201" t="s">
        <v>471</v>
      </c>
    </row>
    <row r="202" spans="1:20" x14ac:dyDescent="0.25">
      <c r="A202" t="s">
        <v>2211</v>
      </c>
      <c r="B202" t="s">
        <v>2212</v>
      </c>
      <c r="C202" t="s">
        <v>2213</v>
      </c>
      <c r="D202" t="s">
        <v>2214</v>
      </c>
      <c r="F202" s="461">
        <v>33451</v>
      </c>
      <c r="G202">
        <v>2027759</v>
      </c>
      <c r="H202" t="s">
        <v>463</v>
      </c>
      <c r="I202" t="s">
        <v>551</v>
      </c>
      <c r="J202" t="s">
        <v>465</v>
      </c>
      <c r="K202" t="s">
        <v>2215</v>
      </c>
      <c r="L202" t="s">
        <v>2216</v>
      </c>
      <c r="M202" t="s">
        <v>2217</v>
      </c>
      <c r="O202" t="s">
        <v>2218</v>
      </c>
      <c r="P202" t="s">
        <v>2219</v>
      </c>
      <c r="Q202" s="461">
        <v>42996</v>
      </c>
      <c r="R202" s="461">
        <v>42996</v>
      </c>
      <c r="S202" s="461"/>
      <c r="T202" t="s">
        <v>471</v>
      </c>
    </row>
    <row r="203" spans="1:20" x14ac:dyDescent="0.25">
      <c r="A203" t="s">
        <v>2220</v>
      </c>
      <c r="B203" t="s">
        <v>2221</v>
      </c>
      <c r="C203" t="s">
        <v>2222</v>
      </c>
      <c r="D203" t="s">
        <v>2223</v>
      </c>
      <c r="F203" s="461">
        <v>33018</v>
      </c>
      <c r="G203">
        <v>931584</v>
      </c>
      <c r="H203" t="s">
        <v>463</v>
      </c>
      <c r="I203" t="s">
        <v>551</v>
      </c>
      <c r="J203" t="s">
        <v>541</v>
      </c>
      <c r="K203" t="s">
        <v>2224</v>
      </c>
      <c r="L203" t="s">
        <v>2225</v>
      </c>
      <c r="M203" t="s">
        <v>2226</v>
      </c>
      <c r="O203" t="s">
        <v>2227</v>
      </c>
      <c r="P203" t="s">
        <v>2228</v>
      </c>
      <c r="Q203" s="461">
        <v>42074</v>
      </c>
      <c r="R203" s="461">
        <v>42074</v>
      </c>
      <c r="S203" s="461">
        <v>42074</v>
      </c>
      <c r="T203" t="s">
        <v>471</v>
      </c>
    </row>
    <row r="204" spans="1:20" x14ac:dyDescent="0.25">
      <c r="A204" t="s">
        <v>2229</v>
      </c>
      <c r="B204" t="s">
        <v>2230</v>
      </c>
      <c r="C204" t="s">
        <v>2231</v>
      </c>
      <c r="D204" t="s">
        <v>2232</v>
      </c>
      <c r="F204" s="461"/>
      <c r="G204">
        <v>123</v>
      </c>
      <c r="H204" t="s">
        <v>463</v>
      </c>
      <c r="I204" t="s">
        <v>551</v>
      </c>
      <c r="J204" t="s">
        <v>541</v>
      </c>
      <c r="K204" t="s">
        <v>2233</v>
      </c>
      <c r="L204" t="s">
        <v>2234</v>
      </c>
      <c r="M204" t="s">
        <v>2235</v>
      </c>
      <c r="P204" t="s">
        <v>2236</v>
      </c>
      <c r="Q204" s="461">
        <v>42060</v>
      </c>
      <c r="R204" s="461">
        <v>42060</v>
      </c>
      <c r="S204" s="461">
        <v>42062</v>
      </c>
      <c r="T204" t="s">
        <v>471</v>
      </c>
    </row>
    <row r="205" spans="1:20" x14ac:dyDescent="0.25">
      <c r="A205" t="s">
        <v>2237</v>
      </c>
      <c r="B205" t="s">
        <v>2238</v>
      </c>
      <c r="C205" t="s">
        <v>2239</v>
      </c>
      <c r="D205" t="s">
        <v>2240</v>
      </c>
      <c r="F205" s="461">
        <v>29798</v>
      </c>
      <c r="H205" t="s">
        <v>476</v>
      </c>
      <c r="J205" t="s">
        <v>541</v>
      </c>
      <c r="K205" t="s">
        <v>2241</v>
      </c>
      <c r="L205" t="s">
        <v>2242</v>
      </c>
      <c r="M205" t="s">
        <v>2243</v>
      </c>
      <c r="O205" t="s">
        <v>2244</v>
      </c>
      <c r="P205" t="s">
        <v>2245</v>
      </c>
      <c r="Q205" s="461">
        <v>42767</v>
      </c>
      <c r="R205" s="461">
        <v>43034</v>
      </c>
      <c r="S205" s="461"/>
      <c r="T205" t="s">
        <v>471</v>
      </c>
    </row>
    <row r="206" spans="1:20" x14ac:dyDescent="0.25">
      <c r="A206" t="s">
        <v>2246</v>
      </c>
      <c r="B206" t="s">
        <v>2247</v>
      </c>
      <c r="C206" t="s">
        <v>2248</v>
      </c>
      <c r="D206" t="s">
        <v>2249</v>
      </c>
      <c r="E206" t="s">
        <v>2250</v>
      </c>
      <c r="F206" s="461">
        <v>37441</v>
      </c>
      <c r="H206" t="s">
        <v>476</v>
      </c>
      <c r="J206" t="s">
        <v>541</v>
      </c>
      <c r="K206" t="s">
        <v>2251</v>
      </c>
      <c r="L206" t="s">
        <v>2252</v>
      </c>
      <c r="M206" t="s">
        <v>2253</v>
      </c>
      <c r="O206" t="s">
        <v>2254</v>
      </c>
      <c r="P206" t="s">
        <v>2255</v>
      </c>
      <c r="Q206" s="461">
        <v>44956</v>
      </c>
      <c r="R206" s="461">
        <v>44956</v>
      </c>
      <c r="S206" s="461">
        <v>44946</v>
      </c>
      <c r="T206" t="s">
        <v>483</v>
      </c>
    </row>
    <row r="207" spans="1:20" x14ac:dyDescent="0.25">
      <c r="A207" t="s">
        <v>2256</v>
      </c>
      <c r="B207" t="s">
        <v>2257</v>
      </c>
      <c r="C207" t="s">
        <v>2248</v>
      </c>
      <c r="D207" t="s">
        <v>2258</v>
      </c>
      <c r="F207" s="461">
        <v>35127</v>
      </c>
      <c r="G207">
        <v>911842</v>
      </c>
      <c r="H207" t="s">
        <v>463</v>
      </c>
      <c r="I207" t="s">
        <v>846</v>
      </c>
      <c r="J207" t="s">
        <v>541</v>
      </c>
      <c r="K207" t="s">
        <v>2259</v>
      </c>
      <c r="L207" t="s">
        <v>2260</v>
      </c>
      <c r="M207" t="s">
        <v>2261</v>
      </c>
      <c r="O207" t="s">
        <v>2262</v>
      </c>
      <c r="P207" t="s">
        <v>2255</v>
      </c>
      <c r="Q207" s="461">
        <v>43846</v>
      </c>
      <c r="R207" s="461">
        <v>43846</v>
      </c>
      <c r="S207" s="461">
        <v>43844</v>
      </c>
      <c r="T207" t="s">
        <v>483</v>
      </c>
    </row>
    <row r="208" spans="1:20" x14ac:dyDescent="0.25">
      <c r="A208" t="s">
        <v>2263</v>
      </c>
      <c r="B208" t="s">
        <v>2264</v>
      </c>
      <c r="C208" t="s">
        <v>2265</v>
      </c>
      <c r="D208" t="s">
        <v>2266</v>
      </c>
      <c r="F208" s="461">
        <v>34626</v>
      </c>
      <c r="H208" t="s">
        <v>476</v>
      </c>
      <c r="J208" t="s">
        <v>465</v>
      </c>
      <c r="K208" t="s">
        <v>2267</v>
      </c>
      <c r="L208" t="s">
        <v>2268</v>
      </c>
      <c r="M208" t="s">
        <v>2269</v>
      </c>
      <c r="O208" t="s">
        <v>2270</v>
      </c>
      <c r="P208" t="s">
        <v>2271</v>
      </c>
      <c r="Q208" s="461">
        <v>43052</v>
      </c>
      <c r="R208" s="461">
        <v>43052</v>
      </c>
      <c r="S208" s="461"/>
      <c r="T208" t="s">
        <v>471</v>
      </c>
    </row>
    <row r="209" spans="1:20" x14ac:dyDescent="0.25">
      <c r="A209" t="s">
        <v>2272</v>
      </c>
      <c r="B209" t="s">
        <v>2273</v>
      </c>
      <c r="C209" t="s">
        <v>2274</v>
      </c>
      <c r="D209" t="s">
        <v>2275</v>
      </c>
      <c r="F209" s="461">
        <v>26384</v>
      </c>
      <c r="G209">
        <v>2544029</v>
      </c>
      <c r="H209" t="s">
        <v>463</v>
      </c>
      <c r="I209" t="s">
        <v>1438</v>
      </c>
      <c r="J209" t="s">
        <v>529</v>
      </c>
      <c r="K209" t="s">
        <v>2276</v>
      </c>
      <c r="L209" t="s">
        <v>2277</v>
      </c>
      <c r="M209" t="s">
        <v>2278</v>
      </c>
      <c r="O209" t="s">
        <v>2279</v>
      </c>
      <c r="P209" t="s">
        <v>2280</v>
      </c>
      <c r="Q209" s="461">
        <v>44581</v>
      </c>
      <c r="R209" s="461">
        <v>44581</v>
      </c>
      <c r="S209" s="461">
        <v>44579</v>
      </c>
      <c r="T209" t="s">
        <v>483</v>
      </c>
    </row>
    <row r="210" spans="1:20" x14ac:dyDescent="0.25">
      <c r="A210" t="s">
        <v>2281</v>
      </c>
      <c r="B210" t="s">
        <v>2282</v>
      </c>
      <c r="C210" t="s">
        <v>2283</v>
      </c>
      <c r="D210" t="s">
        <v>2284</v>
      </c>
      <c r="F210" s="461">
        <v>37288</v>
      </c>
      <c r="H210" t="s">
        <v>463</v>
      </c>
      <c r="J210" t="s">
        <v>465</v>
      </c>
      <c r="K210" t="s">
        <v>2285</v>
      </c>
      <c r="L210" t="s">
        <v>2286</v>
      </c>
      <c r="M210" t="s">
        <v>2287</v>
      </c>
      <c r="O210" t="s">
        <v>2288</v>
      </c>
      <c r="P210" t="s">
        <v>2289</v>
      </c>
      <c r="Q210" s="461">
        <v>43483</v>
      </c>
      <c r="R210" s="461">
        <v>43483</v>
      </c>
      <c r="S210" s="461">
        <v>43482</v>
      </c>
      <c r="T210" t="s">
        <v>471</v>
      </c>
    </row>
    <row r="211" spans="1:20" x14ac:dyDescent="0.25">
      <c r="A211" t="s">
        <v>2290</v>
      </c>
      <c r="B211" t="s">
        <v>2291</v>
      </c>
      <c r="C211" t="s">
        <v>2292</v>
      </c>
      <c r="D211" t="s">
        <v>2293</v>
      </c>
      <c r="F211" s="461">
        <v>34775</v>
      </c>
      <c r="G211">
        <v>2023679</v>
      </c>
      <c r="H211" t="s">
        <v>463</v>
      </c>
      <c r="I211" t="s">
        <v>846</v>
      </c>
      <c r="J211" t="s">
        <v>541</v>
      </c>
      <c r="K211" t="s">
        <v>2294</v>
      </c>
      <c r="L211" t="s">
        <v>2295</v>
      </c>
      <c r="M211" t="s">
        <v>2296</v>
      </c>
      <c r="O211" t="s">
        <v>2297</v>
      </c>
      <c r="P211" t="s">
        <v>2298</v>
      </c>
      <c r="Q211" s="461">
        <v>43819</v>
      </c>
      <c r="R211" s="461">
        <v>43819</v>
      </c>
      <c r="S211" s="461">
        <v>43818</v>
      </c>
      <c r="T211" t="s">
        <v>471</v>
      </c>
    </row>
    <row r="212" spans="1:20" x14ac:dyDescent="0.25">
      <c r="A212" t="s">
        <v>2299</v>
      </c>
      <c r="B212" t="s">
        <v>2300</v>
      </c>
      <c r="C212" t="s">
        <v>2301</v>
      </c>
      <c r="D212" t="s">
        <v>2302</v>
      </c>
      <c r="F212" s="461">
        <v>34179</v>
      </c>
      <c r="G212">
        <v>723443</v>
      </c>
      <c r="H212" t="s">
        <v>463</v>
      </c>
      <c r="I212" t="s">
        <v>703</v>
      </c>
      <c r="J212" t="s">
        <v>465</v>
      </c>
      <c r="K212" t="s">
        <v>2303</v>
      </c>
      <c r="L212" t="s">
        <v>2304</v>
      </c>
      <c r="M212" t="s">
        <v>2305</v>
      </c>
      <c r="O212" t="s">
        <v>2306</v>
      </c>
      <c r="P212" t="s">
        <v>2307</v>
      </c>
      <c r="Q212" s="461">
        <v>42038</v>
      </c>
      <c r="R212" s="461">
        <v>42038</v>
      </c>
      <c r="S212" s="461">
        <v>42037</v>
      </c>
      <c r="T212" t="s">
        <v>471</v>
      </c>
    </row>
    <row r="213" spans="1:20" x14ac:dyDescent="0.25">
      <c r="A213" t="s">
        <v>2308</v>
      </c>
      <c r="B213" t="s">
        <v>2309</v>
      </c>
      <c r="C213" t="s">
        <v>2310</v>
      </c>
      <c r="D213" t="s">
        <v>1768</v>
      </c>
      <c r="E213" t="s">
        <v>2311</v>
      </c>
      <c r="F213" s="461">
        <v>37710</v>
      </c>
      <c r="H213" t="s">
        <v>463</v>
      </c>
      <c r="I213" t="s">
        <v>540</v>
      </c>
      <c r="J213" t="s">
        <v>541</v>
      </c>
      <c r="K213" t="s">
        <v>2312</v>
      </c>
      <c r="L213" t="s">
        <v>2313</v>
      </c>
      <c r="M213" t="s">
        <v>2314</v>
      </c>
      <c r="O213" t="s">
        <v>2315</v>
      </c>
      <c r="P213" t="s">
        <v>2316</v>
      </c>
      <c r="Q213" s="461">
        <v>44984</v>
      </c>
      <c r="R213" s="461">
        <v>44984</v>
      </c>
      <c r="S213" s="461">
        <v>44984</v>
      </c>
      <c r="T213" t="s">
        <v>471</v>
      </c>
    </row>
    <row r="214" spans="1:20" x14ac:dyDescent="0.25">
      <c r="A214" t="s">
        <v>2317</v>
      </c>
      <c r="B214" t="s">
        <v>2318</v>
      </c>
      <c r="C214" t="s">
        <v>2319</v>
      </c>
      <c r="D214" t="s">
        <v>2320</v>
      </c>
      <c r="F214" s="461">
        <v>35984</v>
      </c>
      <c r="H214" t="s">
        <v>463</v>
      </c>
      <c r="I214" t="s">
        <v>540</v>
      </c>
      <c r="J214" t="s">
        <v>497</v>
      </c>
      <c r="K214" t="s">
        <v>2321</v>
      </c>
      <c r="L214" t="s">
        <v>2322</v>
      </c>
      <c r="M214" t="s">
        <v>2323</v>
      </c>
      <c r="O214" t="s">
        <v>2324</v>
      </c>
      <c r="P214" t="s">
        <v>2325</v>
      </c>
      <c r="Q214" s="461">
        <v>44612</v>
      </c>
      <c r="R214" s="461">
        <v>44612</v>
      </c>
      <c r="S214" s="461">
        <v>44603</v>
      </c>
      <c r="T214" t="s">
        <v>471</v>
      </c>
    </row>
    <row r="215" spans="1:20" x14ac:dyDescent="0.25">
      <c r="A215" t="s">
        <v>2326</v>
      </c>
      <c r="B215" t="s">
        <v>2327</v>
      </c>
      <c r="C215" t="s">
        <v>2328</v>
      </c>
      <c r="D215" t="s">
        <v>2329</v>
      </c>
      <c r="F215" s="461">
        <v>35406</v>
      </c>
      <c r="H215" t="s">
        <v>463</v>
      </c>
      <c r="I215" t="s">
        <v>540</v>
      </c>
      <c r="J215" t="s">
        <v>529</v>
      </c>
      <c r="K215" t="s">
        <v>2330</v>
      </c>
      <c r="L215" t="s">
        <v>2331</v>
      </c>
      <c r="M215" t="s">
        <v>2332</v>
      </c>
      <c r="O215" t="s">
        <v>2333</v>
      </c>
      <c r="P215" t="s">
        <v>2334</v>
      </c>
      <c r="Q215" s="461">
        <v>44612</v>
      </c>
      <c r="R215" s="461">
        <v>44612</v>
      </c>
      <c r="S215" s="461">
        <v>44603</v>
      </c>
      <c r="T215" t="s">
        <v>471</v>
      </c>
    </row>
    <row r="216" spans="1:20" x14ac:dyDescent="0.25">
      <c r="A216" t="s">
        <v>2335</v>
      </c>
      <c r="B216" t="s">
        <v>2336</v>
      </c>
      <c r="C216" t="s">
        <v>2337</v>
      </c>
      <c r="D216" t="s">
        <v>2338</v>
      </c>
      <c r="F216" s="461">
        <v>34046</v>
      </c>
      <c r="G216">
        <v>1038280</v>
      </c>
      <c r="H216" t="s">
        <v>463</v>
      </c>
      <c r="I216" t="s">
        <v>1438</v>
      </c>
      <c r="J216" t="s">
        <v>541</v>
      </c>
      <c r="K216" t="s">
        <v>2339</v>
      </c>
      <c r="L216" t="s">
        <v>2340</v>
      </c>
      <c r="M216" t="s">
        <v>2341</v>
      </c>
      <c r="O216" t="s">
        <v>2342</v>
      </c>
      <c r="P216" t="s">
        <v>2343</v>
      </c>
      <c r="Q216" s="461">
        <v>44942</v>
      </c>
      <c r="R216" s="461">
        <v>44942</v>
      </c>
      <c r="S216" s="461">
        <v>44936</v>
      </c>
      <c r="T216" t="s">
        <v>471</v>
      </c>
    </row>
    <row r="217" spans="1:20" x14ac:dyDescent="0.25">
      <c r="A217" t="s">
        <v>2344</v>
      </c>
      <c r="B217" t="s">
        <v>2345</v>
      </c>
      <c r="C217" t="s">
        <v>2346</v>
      </c>
      <c r="D217" t="s">
        <v>2347</v>
      </c>
      <c r="E217" t="s">
        <v>2348</v>
      </c>
      <c r="F217" s="461">
        <v>35696</v>
      </c>
      <c r="G217">
        <v>839821</v>
      </c>
      <c r="H217" t="s">
        <v>463</v>
      </c>
      <c r="I217" t="s">
        <v>836</v>
      </c>
      <c r="J217" t="s">
        <v>541</v>
      </c>
      <c r="K217" t="s">
        <v>2349</v>
      </c>
      <c r="L217" t="s">
        <v>2350</v>
      </c>
      <c r="M217" t="s">
        <v>2351</v>
      </c>
      <c r="O217" t="s">
        <v>2352</v>
      </c>
      <c r="P217" t="s">
        <v>2353</v>
      </c>
      <c r="Q217" s="461">
        <v>44963</v>
      </c>
      <c r="R217" s="461">
        <v>44963</v>
      </c>
      <c r="S217" s="461">
        <v>44962</v>
      </c>
      <c r="T217" t="s">
        <v>471</v>
      </c>
    </row>
    <row r="218" spans="1:20" x14ac:dyDescent="0.25">
      <c r="A218" t="s">
        <v>2354</v>
      </c>
      <c r="B218" t="s">
        <v>2355</v>
      </c>
      <c r="C218" t="s">
        <v>2356</v>
      </c>
      <c r="D218" t="s">
        <v>2357</v>
      </c>
      <c r="F218" s="461">
        <v>35602</v>
      </c>
      <c r="G218">
        <v>1022610</v>
      </c>
      <c r="H218" t="s">
        <v>463</v>
      </c>
      <c r="I218" t="s">
        <v>540</v>
      </c>
      <c r="J218" t="s">
        <v>465</v>
      </c>
      <c r="K218" t="s">
        <v>2358</v>
      </c>
      <c r="L218" t="s">
        <v>2359</v>
      </c>
      <c r="M218" t="s">
        <v>2360</v>
      </c>
      <c r="O218" t="s">
        <v>2361</v>
      </c>
      <c r="P218" t="s">
        <v>2362</v>
      </c>
      <c r="Q218" s="461">
        <v>43138</v>
      </c>
      <c r="R218" s="461">
        <v>43138</v>
      </c>
      <c r="S218" s="461">
        <v>43137</v>
      </c>
      <c r="T218" t="s">
        <v>471</v>
      </c>
    </row>
    <row r="219" spans="1:20" x14ac:dyDescent="0.25">
      <c r="A219" t="s">
        <v>2363</v>
      </c>
      <c r="B219" t="s">
        <v>2364</v>
      </c>
      <c r="C219" t="s">
        <v>2356</v>
      </c>
      <c r="D219" t="s">
        <v>2365</v>
      </c>
      <c r="F219" s="461">
        <v>32721</v>
      </c>
      <c r="G219">
        <v>474288</v>
      </c>
      <c r="H219" t="s">
        <v>463</v>
      </c>
      <c r="I219" t="s">
        <v>528</v>
      </c>
      <c r="J219" t="s">
        <v>541</v>
      </c>
      <c r="K219" t="s">
        <v>2366</v>
      </c>
      <c r="L219" t="s">
        <v>2367</v>
      </c>
      <c r="N219" t="s">
        <v>2368</v>
      </c>
      <c r="O219" t="s">
        <v>2369</v>
      </c>
      <c r="P219" t="s">
        <v>2362</v>
      </c>
      <c r="Q219" s="461">
        <v>43852</v>
      </c>
      <c r="R219" s="461">
        <v>43852</v>
      </c>
      <c r="S219" s="461">
        <v>44603</v>
      </c>
      <c r="T219" t="s">
        <v>483</v>
      </c>
    </row>
    <row r="220" spans="1:20" x14ac:dyDescent="0.25">
      <c r="A220" t="s">
        <v>2370</v>
      </c>
      <c r="B220" t="s">
        <v>2371</v>
      </c>
      <c r="C220" t="s">
        <v>2372</v>
      </c>
      <c r="D220" t="s">
        <v>2373</v>
      </c>
      <c r="F220" s="461">
        <v>25841</v>
      </c>
      <c r="G220">
        <v>10352</v>
      </c>
      <c r="H220" t="s">
        <v>527</v>
      </c>
      <c r="I220" t="s">
        <v>2374</v>
      </c>
      <c r="J220" t="s">
        <v>529</v>
      </c>
      <c r="K220" t="s">
        <v>2375</v>
      </c>
      <c r="L220" t="s">
        <v>2376</v>
      </c>
      <c r="N220" t="s">
        <v>2377</v>
      </c>
      <c r="P220" t="s">
        <v>2378</v>
      </c>
      <c r="Q220" s="461">
        <v>42011</v>
      </c>
      <c r="R220" s="461">
        <v>42011</v>
      </c>
      <c r="S220" s="461">
        <v>42010</v>
      </c>
      <c r="T220" t="s">
        <v>471</v>
      </c>
    </row>
    <row r="221" spans="1:20" x14ac:dyDescent="0.25">
      <c r="A221" t="s">
        <v>2379</v>
      </c>
      <c r="B221" t="s">
        <v>2380</v>
      </c>
      <c r="C221" t="s">
        <v>2381</v>
      </c>
      <c r="D221" t="s">
        <v>2382</v>
      </c>
      <c r="F221" s="461">
        <v>37133</v>
      </c>
      <c r="H221" t="s">
        <v>463</v>
      </c>
      <c r="I221" t="s">
        <v>1438</v>
      </c>
      <c r="J221" t="s">
        <v>465</v>
      </c>
      <c r="K221" t="s">
        <v>2383</v>
      </c>
      <c r="L221" t="s">
        <v>2384</v>
      </c>
      <c r="M221" t="s">
        <v>2385</v>
      </c>
      <c r="O221" t="s">
        <v>2386</v>
      </c>
      <c r="P221" t="s">
        <v>2387</v>
      </c>
      <c r="Q221" s="461">
        <v>44935</v>
      </c>
      <c r="R221" s="461">
        <v>44935</v>
      </c>
      <c r="S221" s="461">
        <v>44934</v>
      </c>
      <c r="T221" t="s">
        <v>483</v>
      </c>
    </row>
    <row r="222" spans="1:20" x14ac:dyDescent="0.25">
      <c r="A222" t="s">
        <v>2388</v>
      </c>
      <c r="B222" t="s">
        <v>2389</v>
      </c>
      <c r="C222" t="s">
        <v>2372</v>
      </c>
      <c r="D222" t="s">
        <v>2390</v>
      </c>
      <c r="E222" t="s">
        <v>2391</v>
      </c>
      <c r="F222" s="461">
        <v>28160</v>
      </c>
      <c r="H222" t="s">
        <v>463</v>
      </c>
      <c r="I222" t="s">
        <v>675</v>
      </c>
      <c r="J222" t="s">
        <v>465</v>
      </c>
      <c r="K222" t="s">
        <v>2392</v>
      </c>
      <c r="L222" t="s">
        <v>2393</v>
      </c>
      <c r="M222" t="s">
        <v>2394</v>
      </c>
      <c r="O222" t="s">
        <v>2395</v>
      </c>
      <c r="P222" t="s">
        <v>2378</v>
      </c>
      <c r="Q222" s="461">
        <v>44959</v>
      </c>
      <c r="R222" s="461">
        <v>44959</v>
      </c>
      <c r="S222" s="461">
        <v>44958</v>
      </c>
      <c r="T222" t="s">
        <v>483</v>
      </c>
    </row>
    <row r="223" spans="1:20" x14ac:dyDescent="0.25">
      <c r="A223" t="s">
        <v>2396</v>
      </c>
      <c r="B223" t="s">
        <v>2397</v>
      </c>
      <c r="C223" t="s">
        <v>2381</v>
      </c>
      <c r="D223" t="s">
        <v>1602</v>
      </c>
      <c r="F223" s="461">
        <v>33434</v>
      </c>
      <c r="G223">
        <v>835810</v>
      </c>
      <c r="H223" t="s">
        <v>527</v>
      </c>
      <c r="I223" t="s">
        <v>737</v>
      </c>
      <c r="J223" t="s">
        <v>529</v>
      </c>
      <c r="K223" t="s">
        <v>2398</v>
      </c>
      <c r="L223" t="s">
        <v>2399</v>
      </c>
      <c r="M223" t="s">
        <v>2400</v>
      </c>
      <c r="O223" t="s">
        <v>2401</v>
      </c>
      <c r="P223" t="s">
        <v>2387</v>
      </c>
      <c r="Q223" s="461">
        <v>44612</v>
      </c>
      <c r="R223" s="461">
        <v>44612</v>
      </c>
      <c r="S223" s="461">
        <v>44606</v>
      </c>
      <c r="T223" t="s">
        <v>471</v>
      </c>
    </row>
    <row r="224" spans="1:20" x14ac:dyDescent="0.25">
      <c r="A224" t="s">
        <v>2402</v>
      </c>
      <c r="B224" t="s">
        <v>2403</v>
      </c>
      <c r="C224" t="s">
        <v>2372</v>
      </c>
      <c r="D224" t="s">
        <v>2404</v>
      </c>
      <c r="F224" s="461">
        <v>34480</v>
      </c>
      <c r="H224" t="s">
        <v>463</v>
      </c>
      <c r="I224" t="s">
        <v>641</v>
      </c>
      <c r="J224" t="s">
        <v>465</v>
      </c>
      <c r="K224" t="s">
        <v>2405</v>
      </c>
      <c r="L224" t="s">
        <v>2406</v>
      </c>
      <c r="M224" t="s">
        <v>2407</v>
      </c>
      <c r="O224" t="s">
        <v>2408</v>
      </c>
      <c r="P224" t="s">
        <v>2378</v>
      </c>
      <c r="Q224" s="461">
        <v>42009</v>
      </c>
      <c r="R224" s="461">
        <v>42009</v>
      </c>
      <c r="S224" s="461">
        <v>42008</v>
      </c>
      <c r="T224" t="s">
        <v>471</v>
      </c>
    </row>
    <row r="225" spans="1:20" x14ac:dyDescent="0.25">
      <c r="A225" t="s">
        <v>2409</v>
      </c>
      <c r="B225" t="s">
        <v>2410</v>
      </c>
      <c r="C225" t="s">
        <v>2411</v>
      </c>
      <c r="D225" t="s">
        <v>1586</v>
      </c>
      <c r="F225" s="461">
        <v>35090</v>
      </c>
      <c r="G225">
        <v>806555</v>
      </c>
      <c r="H225" t="s">
        <v>463</v>
      </c>
      <c r="I225" t="s">
        <v>641</v>
      </c>
      <c r="J225" t="s">
        <v>541</v>
      </c>
      <c r="K225" t="s">
        <v>2412</v>
      </c>
      <c r="L225" t="s">
        <v>2413</v>
      </c>
      <c r="M225" t="s">
        <v>2414</v>
      </c>
      <c r="O225" t="s">
        <v>2415</v>
      </c>
      <c r="P225" t="s">
        <v>2416</v>
      </c>
      <c r="Q225" s="461">
        <v>43483</v>
      </c>
      <c r="R225" s="461">
        <v>43483</v>
      </c>
      <c r="S225" s="461">
        <v>43482</v>
      </c>
      <c r="T225" t="s">
        <v>483</v>
      </c>
    </row>
    <row r="226" spans="1:20" x14ac:dyDescent="0.25">
      <c r="A226" t="s">
        <v>2417</v>
      </c>
      <c r="B226" t="s">
        <v>2418</v>
      </c>
      <c r="C226" t="s">
        <v>2411</v>
      </c>
      <c r="D226" t="s">
        <v>2419</v>
      </c>
      <c r="F226" s="461">
        <v>33278</v>
      </c>
      <c r="H226" t="s">
        <v>463</v>
      </c>
      <c r="I226" t="s">
        <v>685</v>
      </c>
      <c r="J226" t="s">
        <v>465</v>
      </c>
      <c r="K226" t="s">
        <v>2420</v>
      </c>
      <c r="L226" t="s">
        <v>2421</v>
      </c>
      <c r="N226" t="s">
        <v>2422</v>
      </c>
      <c r="O226" t="s">
        <v>2423</v>
      </c>
      <c r="P226" t="s">
        <v>2416</v>
      </c>
      <c r="Q226" s="461">
        <v>42783</v>
      </c>
      <c r="R226" s="461">
        <v>43104</v>
      </c>
      <c r="S226" s="461">
        <v>42783</v>
      </c>
      <c r="T226" t="s">
        <v>483</v>
      </c>
    </row>
    <row r="227" spans="1:20" x14ac:dyDescent="0.25">
      <c r="A227" t="s">
        <v>2424</v>
      </c>
      <c r="B227" t="s">
        <v>2425</v>
      </c>
      <c r="C227" t="s">
        <v>2426</v>
      </c>
      <c r="D227" t="s">
        <v>1366</v>
      </c>
      <c r="F227" s="461">
        <v>31393</v>
      </c>
      <c r="G227">
        <v>589036</v>
      </c>
      <c r="H227" t="s">
        <v>463</v>
      </c>
      <c r="I227" t="s">
        <v>516</v>
      </c>
      <c r="J227" t="s">
        <v>541</v>
      </c>
      <c r="K227" t="s">
        <v>2427</v>
      </c>
      <c r="L227" t="s">
        <v>2428</v>
      </c>
      <c r="M227" t="s">
        <v>2429</v>
      </c>
      <c r="O227" t="s">
        <v>2430</v>
      </c>
      <c r="P227" t="s">
        <v>2431</v>
      </c>
      <c r="Q227" s="461">
        <v>44612</v>
      </c>
      <c r="R227" s="461">
        <v>44612</v>
      </c>
      <c r="S227" s="461">
        <v>44603</v>
      </c>
      <c r="T227" t="s">
        <v>471</v>
      </c>
    </row>
    <row r="228" spans="1:20" x14ac:dyDescent="0.25">
      <c r="A228" t="s">
        <v>2432</v>
      </c>
      <c r="B228" t="s">
        <v>2433</v>
      </c>
      <c r="C228" t="s">
        <v>2434</v>
      </c>
      <c r="D228" t="s">
        <v>1249</v>
      </c>
      <c r="F228" s="461">
        <v>26794</v>
      </c>
      <c r="H228" t="s">
        <v>527</v>
      </c>
      <c r="I228" t="s">
        <v>2073</v>
      </c>
      <c r="J228" t="s">
        <v>541</v>
      </c>
      <c r="K228" t="s">
        <v>2435</v>
      </c>
      <c r="L228" t="s">
        <v>2436</v>
      </c>
      <c r="M228" t="s">
        <v>2437</v>
      </c>
      <c r="O228" t="s">
        <v>2438</v>
      </c>
      <c r="P228" t="s">
        <v>2439</v>
      </c>
      <c r="Q228" s="461">
        <v>43506</v>
      </c>
      <c r="R228" s="461">
        <v>43506</v>
      </c>
      <c r="S228" s="461">
        <v>43505</v>
      </c>
      <c r="T228" t="s">
        <v>471</v>
      </c>
    </row>
    <row r="229" spans="1:20" x14ac:dyDescent="0.25">
      <c r="A229" t="s">
        <v>2440</v>
      </c>
      <c r="B229" t="s">
        <v>2441</v>
      </c>
      <c r="C229" t="s">
        <v>2434</v>
      </c>
      <c r="D229" t="s">
        <v>2442</v>
      </c>
      <c r="F229" s="461">
        <v>35997</v>
      </c>
      <c r="G229">
        <v>873536</v>
      </c>
      <c r="H229" t="s">
        <v>463</v>
      </c>
      <c r="I229" t="s">
        <v>551</v>
      </c>
      <c r="J229" t="s">
        <v>541</v>
      </c>
      <c r="K229" t="s">
        <v>2443</v>
      </c>
      <c r="L229" t="s">
        <v>2444</v>
      </c>
      <c r="M229" t="s">
        <v>2445</v>
      </c>
      <c r="O229" t="s">
        <v>2446</v>
      </c>
      <c r="P229" t="s">
        <v>2439</v>
      </c>
      <c r="Q229" s="461">
        <v>43898</v>
      </c>
      <c r="R229" s="461">
        <v>43898</v>
      </c>
      <c r="S229" s="461">
        <v>43895</v>
      </c>
      <c r="T229" t="s">
        <v>471</v>
      </c>
    </row>
    <row r="230" spans="1:20" x14ac:dyDescent="0.25">
      <c r="A230" t="s">
        <v>2447</v>
      </c>
      <c r="B230" t="s">
        <v>2448</v>
      </c>
      <c r="C230" t="s">
        <v>2434</v>
      </c>
      <c r="D230" t="s">
        <v>2449</v>
      </c>
      <c r="F230" s="461">
        <v>26078</v>
      </c>
      <c r="H230" t="s">
        <v>463</v>
      </c>
      <c r="I230" t="s">
        <v>516</v>
      </c>
      <c r="J230" t="s">
        <v>529</v>
      </c>
      <c r="K230" t="s">
        <v>2450</v>
      </c>
      <c r="L230" t="s">
        <v>2451</v>
      </c>
      <c r="M230" t="s">
        <v>2452</v>
      </c>
      <c r="O230" t="s">
        <v>2453</v>
      </c>
      <c r="P230" t="s">
        <v>2439</v>
      </c>
      <c r="Q230" s="461">
        <v>44612</v>
      </c>
      <c r="R230" s="461">
        <v>44612</v>
      </c>
      <c r="S230" s="461">
        <v>44604</v>
      </c>
      <c r="T230" t="s">
        <v>483</v>
      </c>
    </row>
    <row r="231" spans="1:20" x14ac:dyDescent="0.25">
      <c r="A231" t="s">
        <v>2454</v>
      </c>
      <c r="B231" t="s">
        <v>2455</v>
      </c>
      <c r="C231" t="s">
        <v>2426</v>
      </c>
      <c r="D231" t="s">
        <v>2456</v>
      </c>
      <c r="E231" t="s">
        <v>2457</v>
      </c>
      <c r="F231" s="461">
        <v>33276</v>
      </c>
      <c r="G231">
        <v>713432</v>
      </c>
      <c r="H231" t="s">
        <v>463</v>
      </c>
      <c r="I231" t="s">
        <v>528</v>
      </c>
      <c r="J231" t="s">
        <v>541</v>
      </c>
      <c r="K231" t="s">
        <v>2458</v>
      </c>
      <c r="L231" t="s">
        <v>2459</v>
      </c>
      <c r="M231" t="s">
        <v>2460</v>
      </c>
      <c r="O231" t="s">
        <v>2461</v>
      </c>
      <c r="P231" t="s">
        <v>2431</v>
      </c>
      <c r="Q231" s="461">
        <v>44612</v>
      </c>
      <c r="R231" s="461">
        <v>44612</v>
      </c>
      <c r="S231" s="461">
        <v>44604</v>
      </c>
      <c r="T231" t="s">
        <v>471</v>
      </c>
    </row>
    <row r="232" spans="1:20" x14ac:dyDescent="0.25">
      <c r="A232" t="s">
        <v>2462</v>
      </c>
      <c r="B232" t="s">
        <v>2463</v>
      </c>
      <c r="C232" t="s">
        <v>2464</v>
      </c>
      <c r="D232" t="s">
        <v>2465</v>
      </c>
      <c r="E232" t="s">
        <v>2466</v>
      </c>
      <c r="F232" s="461">
        <v>22584</v>
      </c>
      <c r="H232" t="s">
        <v>729</v>
      </c>
      <c r="I232" t="s">
        <v>836</v>
      </c>
      <c r="J232" t="s">
        <v>497</v>
      </c>
      <c r="K232" t="s">
        <v>2467</v>
      </c>
      <c r="L232" t="s">
        <v>2468</v>
      </c>
      <c r="M232" t="s">
        <v>2469</v>
      </c>
      <c r="O232" t="s">
        <v>2470</v>
      </c>
      <c r="P232" t="s">
        <v>2471</v>
      </c>
      <c r="Q232" s="461">
        <v>44956</v>
      </c>
      <c r="R232" s="461">
        <v>44956</v>
      </c>
      <c r="S232" s="461">
        <v>44951</v>
      </c>
      <c r="T232" t="s">
        <v>483</v>
      </c>
    </row>
    <row r="233" spans="1:20" x14ac:dyDescent="0.25">
      <c r="A233" t="s">
        <v>2472</v>
      </c>
      <c r="B233" t="s">
        <v>2473</v>
      </c>
      <c r="C233" t="s">
        <v>2474</v>
      </c>
      <c r="D233" t="s">
        <v>2475</v>
      </c>
      <c r="E233" t="s">
        <v>2476</v>
      </c>
      <c r="F233" s="461">
        <v>21686</v>
      </c>
      <c r="G233">
        <v>102247</v>
      </c>
      <c r="H233" t="s">
        <v>463</v>
      </c>
      <c r="I233" t="s">
        <v>675</v>
      </c>
      <c r="J233" t="s">
        <v>541</v>
      </c>
      <c r="K233" t="s">
        <v>2477</v>
      </c>
      <c r="L233" t="s">
        <v>2478</v>
      </c>
      <c r="M233" t="s">
        <v>2479</v>
      </c>
      <c r="O233" t="s">
        <v>2480</v>
      </c>
      <c r="P233" t="s">
        <v>2481</v>
      </c>
      <c r="Q233" s="461">
        <v>44800</v>
      </c>
      <c r="R233" s="461">
        <v>44800</v>
      </c>
      <c r="S233" s="461">
        <v>44799</v>
      </c>
      <c r="T233" t="s">
        <v>471</v>
      </c>
    </row>
    <row r="234" spans="1:20" x14ac:dyDescent="0.25">
      <c r="A234" t="s">
        <v>2482</v>
      </c>
      <c r="B234" t="s">
        <v>2483</v>
      </c>
      <c r="C234" t="s">
        <v>2484</v>
      </c>
      <c r="D234" t="s">
        <v>2485</v>
      </c>
      <c r="F234" s="461"/>
      <c r="G234">
        <v>423842</v>
      </c>
      <c r="H234" t="s">
        <v>463</v>
      </c>
      <c r="I234" t="s">
        <v>551</v>
      </c>
      <c r="J234" t="s">
        <v>529</v>
      </c>
      <c r="K234" t="s">
        <v>2486</v>
      </c>
      <c r="L234" t="s">
        <v>2487</v>
      </c>
      <c r="M234" t="s">
        <v>2488</v>
      </c>
      <c r="O234" t="s">
        <v>2489</v>
      </c>
      <c r="P234" t="s">
        <v>2490</v>
      </c>
      <c r="Q234" s="461">
        <v>42074</v>
      </c>
      <c r="R234" s="461">
        <v>42074</v>
      </c>
      <c r="S234" s="461">
        <v>42074</v>
      </c>
      <c r="T234" t="s">
        <v>471</v>
      </c>
    </row>
    <row r="235" spans="1:20" x14ac:dyDescent="0.25">
      <c r="A235" t="s">
        <v>2491</v>
      </c>
      <c r="B235" t="s">
        <v>2492</v>
      </c>
      <c r="C235" t="s">
        <v>2493</v>
      </c>
      <c r="D235" t="s">
        <v>2494</v>
      </c>
      <c r="F235" s="461">
        <v>36220</v>
      </c>
      <c r="G235">
        <v>989059</v>
      </c>
      <c r="H235" t="s">
        <v>476</v>
      </c>
      <c r="J235" t="s">
        <v>541</v>
      </c>
      <c r="K235" t="s">
        <v>2495</v>
      </c>
      <c r="L235" t="s">
        <v>2496</v>
      </c>
      <c r="M235" t="s">
        <v>2497</v>
      </c>
      <c r="O235" t="s">
        <v>2498</v>
      </c>
      <c r="P235" t="s">
        <v>2499</v>
      </c>
      <c r="Q235" s="461">
        <v>44067</v>
      </c>
      <c r="R235" s="461">
        <v>44067</v>
      </c>
      <c r="S235" s="461">
        <v>44066</v>
      </c>
      <c r="T235" t="s">
        <v>483</v>
      </c>
    </row>
    <row r="236" spans="1:20" x14ac:dyDescent="0.25">
      <c r="A236" t="s">
        <v>2500</v>
      </c>
      <c r="B236" t="s">
        <v>2501</v>
      </c>
      <c r="C236" t="s">
        <v>2493</v>
      </c>
      <c r="D236" t="s">
        <v>487</v>
      </c>
      <c r="F236" s="461"/>
      <c r="H236" t="s">
        <v>2502</v>
      </c>
      <c r="P236" t="s">
        <v>2499</v>
      </c>
      <c r="Q236" s="461">
        <v>41640</v>
      </c>
      <c r="R236" s="461">
        <v>41779</v>
      </c>
      <c r="S236" s="461"/>
      <c r="T236" t="s">
        <v>471</v>
      </c>
    </row>
    <row r="237" spans="1:20" x14ac:dyDescent="0.25">
      <c r="A237" t="s">
        <v>2503</v>
      </c>
      <c r="B237" t="s">
        <v>2504</v>
      </c>
      <c r="C237" t="s">
        <v>2505</v>
      </c>
      <c r="D237" t="s">
        <v>2506</v>
      </c>
      <c r="F237" s="461">
        <v>30030</v>
      </c>
      <c r="G237">
        <v>1256256</v>
      </c>
      <c r="H237" t="s">
        <v>463</v>
      </c>
      <c r="I237" t="s">
        <v>1367</v>
      </c>
      <c r="J237" t="s">
        <v>541</v>
      </c>
      <c r="L237" t="s">
        <v>2507</v>
      </c>
      <c r="M237" t="s">
        <v>2508</v>
      </c>
      <c r="O237" t="s">
        <v>2509</v>
      </c>
      <c r="P237" t="s">
        <v>2510</v>
      </c>
      <c r="Q237" s="461">
        <v>43857</v>
      </c>
      <c r="R237" s="461">
        <v>43857</v>
      </c>
      <c r="S237" s="461">
        <v>43857</v>
      </c>
      <c r="T237" t="s">
        <v>483</v>
      </c>
    </row>
    <row r="238" spans="1:20" x14ac:dyDescent="0.25">
      <c r="A238" t="s">
        <v>2511</v>
      </c>
      <c r="B238" t="s">
        <v>2512</v>
      </c>
      <c r="C238" t="s">
        <v>2513</v>
      </c>
      <c r="D238" t="s">
        <v>2514</v>
      </c>
      <c r="F238" s="461">
        <v>33289</v>
      </c>
      <c r="H238" t="s">
        <v>527</v>
      </c>
      <c r="I238" t="s">
        <v>477</v>
      </c>
      <c r="J238" t="s">
        <v>529</v>
      </c>
      <c r="K238" t="s">
        <v>2515</v>
      </c>
      <c r="L238" t="s">
        <v>2516</v>
      </c>
      <c r="M238" t="s">
        <v>2517</v>
      </c>
      <c r="O238" t="s">
        <v>2518</v>
      </c>
      <c r="P238" t="s">
        <v>2519</v>
      </c>
      <c r="Q238" s="461">
        <v>42035</v>
      </c>
      <c r="R238" s="461">
        <v>42035</v>
      </c>
      <c r="S238" s="461">
        <v>42035</v>
      </c>
      <c r="T238" t="s">
        <v>471</v>
      </c>
    </row>
    <row r="239" spans="1:20" x14ac:dyDescent="0.25">
      <c r="A239" t="s">
        <v>2520</v>
      </c>
      <c r="B239" t="s">
        <v>2521</v>
      </c>
      <c r="C239" t="s">
        <v>2522</v>
      </c>
      <c r="D239" t="s">
        <v>2523</v>
      </c>
      <c r="F239" s="461">
        <v>22708</v>
      </c>
      <c r="H239" t="s">
        <v>527</v>
      </c>
      <c r="I239" t="s">
        <v>906</v>
      </c>
      <c r="J239" t="s">
        <v>541</v>
      </c>
      <c r="K239" t="s">
        <v>2524</v>
      </c>
      <c r="L239" t="s">
        <v>2525</v>
      </c>
      <c r="N239" t="s">
        <v>2526</v>
      </c>
      <c r="O239" t="s">
        <v>2527</v>
      </c>
      <c r="P239" t="s">
        <v>2528</v>
      </c>
      <c r="Q239" s="461">
        <v>43861</v>
      </c>
      <c r="R239" s="461">
        <v>43861</v>
      </c>
      <c r="S239" s="461">
        <v>43860</v>
      </c>
      <c r="T239" t="s">
        <v>471</v>
      </c>
    </row>
    <row r="240" spans="1:20" x14ac:dyDescent="0.25">
      <c r="A240" t="s">
        <v>2529</v>
      </c>
      <c r="B240" t="s">
        <v>2530</v>
      </c>
      <c r="C240" t="s">
        <v>2531</v>
      </c>
      <c r="D240" t="s">
        <v>2532</v>
      </c>
      <c r="F240" s="461">
        <v>35194</v>
      </c>
      <c r="H240" t="s">
        <v>463</v>
      </c>
      <c r="I240" t="s">
        <v>1438</v>
      </c>
      <c r="J240" t="s">
        <v>541</v>
      </c>
      <c r="K240" t="s">
        <v>2533</v>
      </c>
      <c r="L240" t="s">
        <v>2534</v>
      </c>
      <c r="M240" t="s">
        <v>2535</v>
      </c>
      <c r="O240" t="s">
        <v>2536</v>
      </c>
      <c r="P240" t="s">
        <v>2537</v>
      </c>
      <c r="Q240" s="461">
        <v>44935</v>
      </c>
      <c r="R240" s="461">
        <v>44935</v>
      </c>
      <c r="S240" s="461">
        <v>44934</v>
      </c>
      <c r="T240" t="s">
        <v>483</v>
      </c>
    </row>
    <row r="241" spans="1:20" x14ac:dyDescent="0.25">
      <c r="A241" t="s">
        <v>2538</v>
      </c>
      <c r="B241" t="s">
        <v>2539</v>
      </c>
      <c r="C241" t="s">
        <v>2540</v>
      </c>
      <c r="D241" t="s">
        <v>2541</v>
      </c>
      <c r="E241" t="s">
        <v>2542</v>
      </c>
      <c r="F241" s="461">
        <v>31391</v>
      </c>
      <c r="G241">
        <v>308841</v>
      </c>
      <c r="H241" t="s">
        <v>463</v>
      </c>
      <c r="I241" t="s">
        <v>528</v>
      </c>
      <c r="J241" t="s">
        <v>529</v>
      </c>
      <c r="K241" t="s">
        <v>2543</v>
      </c>
      <c r="L241" t="s">
        <v>2544</v>
      </c>
      <c r="N241" t="s">
        <v>2545</v>
      </c>
      <c r="O241" t="s">
        <v>2546</v>
      </c>
      <c r="P241" t="s">
        <v>2547</v>
      </c>
      <c r="Q241" s="461">
        <v>44945</v>
      </c>
      <c r="R241" s="461">
        <v>44945</v>
      </c>
      <c r="S241" s="461">
        <v>44942</v>
      </c>
      <c r="T241" t="s">
        <v>471</v>
      </c>
    </row>
    <row r="242" spans="1:20" x14ac:dyDescent="0.25">
      <c r="A242" t="s">
        <v>2548</v>
      </c>
      <c r="B242" t="s">
        <v>2549</v>
      </c>
      <c r="C242" t="s">
        <v>2550</v>
      </c>
      <c r="D242" t="s">
        <v>2551</v>
      </c>
      <c r="F242" s="461"/>
      <c r="H242" t="s">
        <v>2552</v>
      </c>
      <c r="K242" t="s">
        <v>2553</v>
      </c>
      <c r="L242" t="s">
        <v>2554</v>
      </c>
      <c r="N242" t="s">
        <v>2555</v>
      </c>
      <c r="P242" t="s">
        <v>2556</v>
      </c>
      <c r="Q242" s="461">
        <v>40313</v>
      </c>
      <c r="R242" s="461">
        <v>41774</v>
      </c>
      <c r="S242" s="461"/>
      <c r="T242" t="s">
        <v>471</v>
      </c>
    </row>
    <row r="243" spans="1:20" x14ac:dyDescent="0.25">
      <c r="A243" t="s">
        <v>2557</v>
      </c>
      <c r="B243" t="s">
        <v>2558</v>
      </c>
      <c r="C243" t="s">
        <v>2559</v>
      </c>
      <c r="D243" t="s">
        <v>2560</v>
      </c>
      <c r="F243" s="461">
        <v>35755</v>
      </c>
      <c r="G243">
        <v>777827</v>
      </c>
      <c r="H243" t="s">
        <v>476</v>
      </c>
      <c r="J243" t="s">
        <v>465</v>
      </c>
      <c r="K243" t="s">
        <v>2561</v>
      </c>
      <c r="L243" t="s">
        <v>2562</v>
      </c>
      <c r="M243" t="s">
        <v>2563</v>
      </c>
      <c r="O243" t="s">
        <v>2564</v>
      </c>
      <c r="P243" t="s">
        <v>2565</v>
      </c>
      <c r="Q243" s="461">
        <v>44158</v>
      </c>
      <c r="R243" s="461">
        <v>44158</v>
      </c>
      <c r="S243" s="461">
        <v>44155</v>
      </c>
      <c r="T243" t="s">
        <v>471</v>
      </c>
    </row>
    <row r="244" spans="1:20" x14ac:dyDescent="0.25">
      <c r="A244" t="s">
        <v>2566</v>
      </c>
      <c r="B244" t="s">
        <v>2567</v>
      </c>
      <c r="C244" t="s">
        <v>2568</v>
      </c>
      <c r="D244" t="s">
        <v>2569</v>
      </c>
      <c r="F244" s="461">
        <v>37502</v>
      </c>
      <c r="G244">
        <v>1282862</v>
      </c>
      <c r="H244" t="s">
        <v>463</v>
      </c>
      <c r="I244" t="s">
        <v>1438</v>
      </c>
      <c r="J244" t="s">
        <v>541</v>
      </c>
      <c r="K244" t="s">
        <v>2570</v>
      </c>
      <c r="L244" t="s">
        <v>2571</v>
      </c>
      <c r="M244" t="s">
        <v>2572</v>
      </c>
      <c r="O244" t="s">
        <v>2573</v>
      </c>
      <c r="P244" t="s">
        <v>2574</v>
      </c>
      <c r="Q244" s="461">
        <v>44585</v>
      </c>
      <c r="R244" s="461">
        <v>44585</v>
      </c>
      <c r="S244" s="461">
        <v>44584</v>
      </c>
      <c r="T244" t="s">
        <v>471</v>
      </c>
    </row>
    <row r="245" spans="1:20" x14ac:dyDescent="0.25">
      <c r="A245" t="s">
        <v>2575</v>
      </c>
      <c r="B245" t="s">
        <v>2576</v>
      </c>
      <c r="C245" t="s">
        <v>2559</v>
      </c>
      <c r="D245" t="s">
        <v>2577</v>
      </c>
      <c r="F245" s="461">
        <v>36775</v>
      </c>
      <c r="G245">
        <v>1031613</v>
      </c>
      <c r="H245" t="s">
        <v>463</v>
      </c>
      <c r="I245" t="s">
        <v>496</v>
      </c>
      <c r="J245" t="s">
        <v>465</v>
      </c>
      <c r="K245" t="s">
        <v>2578</v>
      </c>
      <c r="L245" t="s">
        <v>2579</v>
      </c>
      <c r="M245" t="s">
        <v>2580</v>
      </c>
      <c r="O245" t="s">
        <v>2581</v>
      </c>
      <c r="P245" t="s">
        <v>2565</v>
      </c>
      <c r="Q245" s="461">
        <v>43752</v>
      </c>
      <c r="R245" s="461">
        <v>43752</v>
      </c>
      <c r="S245" s="461">
        <v>43858</v>
      </c>
      <c r="T245" t="s">
        <v>483</v>
      </c>
    </row>
    <row r="246" spans="1:20" x14ac:dyDescent="0.25">
      <c r="A246" t="s">
        <v>2582</v>
      </c>
      <c r="B246" t="s">
        <v>2583</v>
      </c>
      <c r="C246" t="s">
        <v>2584</v>
      </c>
      <c r="D246" t="s">
        <v>2585</v>
      </c>
      <c r="F246" s="461">
        <v>24867</v>
      </c>
      <c r="H246" t="s">
        <v>527</v>
      </c>
      <c r="I246" t="s">
        <v>477</v>
      </c>
      <c r="J246" t="s">
        <v>541</v>
      </c>
      <c r="K246" t="s">
        <v>2586</v>
      </c>
      <c r="L246" t="s">
        <v>2587</v>
      </c>
      <c r="N246" t="s">
        <v>2588</v>
      </c>
      <c r="O246" t="s">
        <v>2589</v>
      </c>
      <c r="P246" t="s">
        <v>2590</v>
      </c>
      <c r="Q246" s="461">
        <v>43486</v>
      </c>
      <c r="R246" s="461">
        <v>43486</v>
      </c>
      <c r="S246" s="461">
        <v>43485</v>
      </c>
      <c r="T246" t="s">
        <v>471</v>
      </c>
    </row>
    <row r="247" spans="1:20" x14ac:dyDescent="0.25">
      <c r="A247" t="s">
        <v>2591</v>
      </c>
      <c r="B247" t="s">
        <v>2592</v>
      </c>
      <c r="C247" t="s">
        <v>2593</v>
      </c>
      <c r="D247" t="s">
        <v>1586</v>
      </c>
      <c r="F247" s="461">
        <v>34516</v>
      </c>
      <c r="G247">
        <v>808882</v>
      </c>
      <c r="H247" t="s">
        <v>463</v>
      </c>
      <c r="I247" t="s">
        <v>846</v>
      </c>
      <c r="J247" t="s">
        <v>465</v>
      </c>
      <c r="K247" t="s">
        <v>2594</v>
      </c>
      <c r="L247" t="s">
        <v>2595</v>
      </c>
      <c r="M247" t="s">
        <v>2596</v>
      </c>
      <c r="O247" t="s">
        <v>2597</v>
      </c>
      <c r="P247" t="s">
        <v>2598</v>
      </c>
      <c r="Q247" s="461">
        <v>42038</v>
      </c>
      <c r="R247" s="461">
        <v>42038</v>
      </c>
      <c r="S247" s="461">
        <v>42037</v>
      </c>
      <c r="T247" t="s">
        <v>483</v>
      </c>
    </row>
    <row r="248" spans="1:20" x14ac:dyDescent="0.25">
      <c r="A248" t="s">
        <v>2599</v>
      </c>
      <c r="B248" t="s">
        <v>2600</v>
      </c>
      <c r="C248" t="s">
        <v>2593</v>
      </c>
      <c r="D248" t="s">
        <v>1403</v>
      </c>
      <c r="F248" s="461">
        <v>33420</v>
      </c>
      <c r="H248" t="s">
        <v>527</v>
      </c>
      <c r="I248" t="s">
        <v>496</v>
      </c>
      <c r="J248" t="s">
        <v>541</v>
      </c>
      <c r="K248" t="s">
        <v>2601</v>
      </c>
      <c r="L248" t="s">
        <v>2602</v>
      </c>
      <c r="M248" t="s">
        <v>2603</v>
      </c>
      <c r="N248" t="s">
        <v>2604</v>
      </c>
      <c r="O248" t="s">
        <v>2605</v>
      </c>
      <c r="P248" t="s">
        <v>2598</v>
      </c>
      <c r="Q248" s="461">
        <v>42809</v>
      </c>
      <c r="R248" s="461">
        <v>43034</v>
      </c>
      <c r="S248" s="461">
        <v>42809</v>
      </c>
      <c r="T248" t="s">
        <v>471</v>
      </c>
    </row>
    <row r="249" spans="1:20" x14ac:dyDescent="0.25">
      <c r="A249" t="s">
        <v>2606</v>
      </c>
      <c r="B249" t="s">
        <v>2607</v>
      </c>
      <c r="C249" t="s">
        <v>2608</v>
      </c>
      <c r="D249" t="s">
        <v>2609</v>
      </c>
      <c r="F249" s="461">
        <v>33812</v>
      </c>
      <c r="G249">
        <v>1878816</v>
      </c>
      <c r="H249" t="s">
        <v>463</v>
      </c>
      <c r="I249" t="s">
        <v>551</v>
      </c>
      <c r="J249" t="s">
        <v>529</v>
      </c>
      <c r="K249" t="s">
        <v>2610</v>
      </c>
      <c r="L249" t="s">
        <v>2611</v>
      </c>
      <c r="M249" t="s">
        <v>2612</v>
      </c>
      <c r="O249" t="s">
        <v>2613</v>
      </c>
      <c r="P249" t="s">
        <v>2614</v>
      </c>
      <c r="Q249" s="461">
        <v>43258</v>
      </c>
      <c r="R249" s="461">
        <v>43258</v>
      </c>
      <c r="S249" s="461">
        <v>43258</v>
      </c>
      <c r="T249" t="s">
        <v>483</v>
      </c>
    </row>
    <row r="250" spans="1:20" x14ac:dyDescent="0.25">
      <c r="A250" t="s">
        <v>2615</v>
      </c>
      <c r="B250" t="s">
        <v>2616</v>
      </c>
      <c r="C250" t="s">
        <v>2617</v>
      </c>
      <c r="D250" t="s">
        <v>2618</v>
      </c>
      <c r="E250" t="s">
        <v>2619</v>
      </c>
      <c r="F250" s="461">
        <v>37442</v>
      </c>
      <c r="H250" t="s">
        <v>463</v>
      </c>
      <c r="I250" t="s">
        <v>675</v>
      </c>
      <c r="J250" t="s">
        <v>541</v>
      </c>
      <c r="K250" t="s">
        <v>2620</v>
      </c>
      <c r="L250" t="s">
        <v>2621</v>
      </c>
      <c r="M250" t="s">
        <v>2622</v>
      </c>
      <c r="O250" t="s">
        <v>2623</v>
      </c>
      <c r="P250" t="s">
        <v>2624</v>
      </c>
      <c r="Q250" s="461">
        <v>44965</v>
      </c>
      <c r="R250" s="461">
        <v>44965</v>
      </c>
      <c r="S250" s="461">
        <v>44964</v>
      </c>
      <c r="T250" t="s">
        <v>471</v>
      </c>
    </row>
    <row r="251" spans="1:20" x14ac:dyDescent="0.25">
      <c r="A251" t="s">
        <v>2625</v>
      </c>
      <c r="B251" t="s">
        <v>2626</v>
      </c>
      <c r="C251" t="s">
        <v>2627</v>
      </c>
      <c r="D251" t="s">
        <v>2628</v>
      </c>
      <c r="F251" s="461">
        <v>34885</v>
      </c>
      <c r="H251" t="s">
        <v>463</v>
      </c>
      <c r="I251" t="s">
        <v>846</v>
      </c>
      <c r="J251" t="s">
        <v>465</v>
      </c>
      <c r="K251" t="s">
        <v>2629</v>
      </c>
      <c r="L251" t="s">
        <v>2630</v>
      </c>
      <c r="M251" t="s">
        <v>2631</v>
      </c>
      <c r="O251" t="s">
        <v>2632</v>
      </c>
      <c r="P251" t="s">
        <v>2633</v>
      </c>
      <c r="Q251" s="461">
        <v>42040</v>
      </c>
      <c r="R251" s="461">
        <v>42040</v>
      </c>
      <c r="S251" s="461">
        <v>42040</v>
      </c>
      <c r="T251" t="s">
        <v>483</v>
      </c>
    </row>
    <row r="252" spans="1:20" x14ac:dyDescent="0.25">
      <c r="A252" t="s">
        <v>2634</v>
      </c>
      <c r="B252" t="s">
        <v>2635</v>
      </c>
      <c r="C252" t="s">
        <v>2636</v>
      </c>
      <c r="D252" t="s">
        <v>2637</v>
      </c>
      <c r="F252" s="461">
        <v>21956</v>
      </c>
      <c r="H252" t="s">
        <v>463</v>
      </c>
      <c r="I252" t="s">
        <v>1438</v>
      </c>
      <c r="J252" t="s">
        <v>497</v>
      </c>
      <c r="K252" t="s">
        <v>2638</v>
      </c>
      <c r="L252" t="s">
        <v>2639</v>
      </c>
      <c r="M252" t="s">
        <v>2640</v>
      </c>
      <c r="O252" t="s">
        <v>2641</v>
      </c>
      <c r="P252" t="s">
        <v>2642</v>
      </c>
      <c r="Q252" s="461">
        <v>44612</v>
      </c>
      <c r="R252" s="461">
        <v>44612</v>
      </c>
      <c r="S252" s="461">
        <v>44603</v>
      </c>
      <c r="T252" t="s">
        <v>471</v>
      </c>
    </row>
    <row r="253" spans="1:20" x14ac:dyDescent="0.25">
      <c r="A253" t="s">
        <v>2643</v>
      </c>
      <c r="B253" t="s">
        <v>2644</v>
      </c>
      <c r="C253" t="s">
        <v>2645</v>
      </c>
      <c r="D253" t="s">
        <v>2021</v>
      </c>
      <c r="E253" t="s">
        <v>2646</v>
      </c>
      <c r="F253" s="461">
        <v>28655</v>
      </c>
      <c r="G253">
        <v>123339</v>
      </c>
      <c r="H253" t="s">
        <v>463</v>
      </c>
      <c r="I253" t="s">
        <v>703</v>
      </c>
      <c r="J253" t="s">
        <v>465</v>
      </c>
      <c r="K253" t="s">
        <v>2647</v>
      </c>
      <c r="L253" t="s">
        <v>2024</v>
      </c>
      <c r="M253" t="s">
        <v>2648</v>
      </c>
      <c r="O253" t="s">
        <v>2649</v>
      </c>
      <c r="P253" t="s">
        <v>2650</v>
      </c>
      <c r="Q253" s="461">
        <v>44994</v>
      </c>
      <c r="R253" s="461">
        <v>44994</v>
      </c>
      <c r="S253" s="461">
        <v>44992</v>
      </c>
      <c r="T253" t="s">
        <v>471</v>
      </c>
    </row>
    <row r="254" spans="1:20" x14ac:dyDescent="0.25">
      <c r="A254" t="s">
        <v>2651</v>
      </c>
      <c r="B254" t="s">
        <v>2652</v>
      </c>
      <c r="C254" t="s">
        <v>2653</v>
      </c>
      <c r="D254" t="s">
        <v>2654</v>
      </c>
      <c r="F254" s="461">
        <v>36507</v>
      </c>
      <c r="G254">
        <v>1670554</v>
      </c>
      <c r="H254" t="s">
        <v>476</v>
      </c>
      <c r="J254" t="s">
        <v>465</v>
      </c>
      <c r="L254" t="s">
        <v>2655</v>
      </c>
      <c r="M254" t="s">
        <v>2656</v>
      </c>
      <c r="O254" t="s">
        <v>2657</v>
      </c>
      <c r="P254" t="s">
        <v>2658</v>
      </c>
      <c r="Q254" s="461">
        <v>43503</v>
      </c>
      <c r="R254" s="461">
        <v>43503</v>
      </c>
      <c r="S254" s="461"/>
      <c r="T254" t="s">
        <v>471</v>
      </c>
    </row>
    <row r="255" spans="1:20" x14ac:dyDescent="0.25">
      <c r="A255" t="s">
        <v>2659</v>
      </c>
      <c r="B255" t="s">
        <v>2660</v>
      </c>
      <c r="C255" t="s">
        <v>2661</v>
      </c>
      <c r="D255" t="s">
        <v>2662</v>
      </c>
      <c r="F255" s="461">
        <v>34744</v>
      </c>
      <c r="G255">
        <v>771362</v>
      </c>
      <c r="H255" t="s">
        <v>476</v>
      </c>
      <c r="J255" t="s">
        <v>465</v>
      </c>
      <c r="K255" t="s">
        <v>2663</v>
      </c>
      <c r="L255" t="s">
        <v>2664</v>
      </c>
      <c r="M255" t="s">
        <v>2665</v>
      </c>
      <c r="O255" t="s">
        <v>2666</v>
      </c>
      <c r="P255" t="s">
        <v>2667</v>
      </c>
      <c r="Q255" s="461">
        <v>42680</v>
      </c>
      <c r="R255" s="461">
        <v>43034</v>
      </c>
      <c r="S255" s="461"/>
      <c r="T255" t="s">
        <v>471</v>
      </c>
    </row>
    <row r="256" spans="1:20" x14ac:dyDescent="0.25">
      <c r="A256" t="s">
        <v>2668</v>
      </c>
      <c r="B256" t="s">
        <v>2669</v>
      </c>
      <c r="C256" t="s">
        <v>2670</v>
      </c>
      <c r="D256" t="s">
        <v>2671</v>
      </c>
      <c r="F256" s="461">
        <v>31786</v>
      </c>
      <c r="G256">
        <v>435762</v>
      </c>
      <c r="H256" t="s">
        <v>463</v>
      </c>
      <c r="I256" t="s">
        <v>551</v>
      </c>
      <c r="J256" t="s">
        <v>465</v>
      </c>
      <c r="K256" t="s">
        <v>2672</v>
      </c>
      <c r="L256" t="s">
        <v>2673</v>
      </c>
      <c r="M256" t="s">
        <v>2674</v>
      </c>
      <c r="O256" t="s">
        <v>2675</v>
      </c>
      <c r="P256" t="s">
        <v>2676</v>
      </c>
      <c r="Q256" s="461">
        <v>42074</v>
      </c>
      <c r="R256" s="461">
        <v>42074</v>
      </c>
      <c r="S256" s="461">
        <v>42074</v>
      </c>
      <c r="T256" t="s">
        <v>471</v>
      </c>
    </row>
    <row r="257" spans="1:20" x14ac:dyDescent="0.25">
      <c r="A257" t="s">
        <v>2677</v>
      </c>
      <c r="B257" t="s">
        <v>2678</v>
      </c>
      <c r="C257" t="s">
        <v>2670</v>
      </c>
      <c r="D257" t="s">
        <v>2679</v>
      </c>
      <c r="F257" s="461">
        <v>35828</v>
      </c>
      <c r="G257">
        <v>962665</v>
      </c>
      <c r="H257" t="s">
        <v>463</v>
      </c>
      <c r="I257" t="s">
        <v>464</v>
      </c>
      <c r="J257" t="s">
        <v>541</v>
      </c>
      <c r="K257" t="s">
        <v>2680</v>
      </c>
      <c r="L257" t="s">
        <v>2681</v>
      </c>
      <c r="M257" t="s">
        <v>2682</v>
      </c>
      <c r="O257" t="s">
        <v>2683</v>
      </c>
      <c r="P257" t="s">
        <v>2676</v>
      </c>
      <c r="Q257" s="461">
        <v>44612</v>
      </c>
      <c r="R257" s="461">
        <v>44612</v>
      </c>
      <c r="S257" s="461">
        <v>44605</v>
      </c>
      <c r="T257" t="s">
        <v>471</v>
      </c>
    </row>
    <row r="258" spans="1:20" x14ac:dyDescent="0.25">
      <c r="A258" t="s">
        <v>2684</v>
      </c>
      <c r="B258" t="s">
        <v>2685</v>
      </c>
      <c r="C258" t="s">
        <v>2670</v>
      </c>
      <c r="D258" t="s">
        <v>2485</v>
      </c>
      <c r="F258" s="461">
        <v>31264</v>
      </c>
      <c r="G258">
        <v>655682</v>
      </c>
      <c r="H258" t="s">
        <v>463</v>
      </c>
      <c r="I258" t="s">
        <v>551</v>
      </c>
      <c r="J258" t="s">
        <v>529</v>
      </c>
      <c r="K258" t="s">
        <v>2686</v>
      </c>
      <c r="L258" t="s">
        <v>2487</v>
      </c>
      <c r="M258" t="s">
        <v>2687</v>
      </c>
      <c r="O258" t="s">
        <v>2688</v>
      </c>
      <c r="P258" t="s">
        <v>2676</v>
      </c>
      <c r="Q258" s="461">
        <v>42474</v>
      </c>
      <c r="R258" s="461">
        <v>43034</v>
      </c>
      <c r="S258" s="461">
        <v>42474</v>
      </c>
      <c r="T258" t="s">
        <v>471</v>
      </c>
    </row>
    <row r="259" spans="1:20" x14ac:dyDescent="0.25">
      <c r="A259" t="s">
        <v>2689</v>
      </c>
      <c r="B259" t="s">
        <v>2690</v>
      </c>
      <c r="C259" t="s">
        <v>2691</v>
      </c>
      <c r="D259" t="s">
        <v>2465</v>
      </c>
      <c r="E259" t="s">
        <v>2692</v>
      </c>
      <c r="F259" s="461">
        <v>31342</v>
      </c>
      <c r="H259" t="s">
        <v>463</v>
      </c>
      <c r="I259" t="s">
        <v>836</v>
      </c>
      <c r="J259" t="s">
        <v>529</v>
      </c>
      <c r="K259" t="s">
        <v>2693</v>
      </c>
      <c r="L259" t="s">
        <v>2694</v>
      </c>
      <c r="M259" t="s">
        <v>2695</v>
      </c>
      <c r="O259" t="s">
        <v>2696</v>
      </c>
      <c r="P259" t="s">
        <v>2697</v>
      </c>
      <c r="Q259" s="461">
        <v>42032</v>
      </c>
      <c r="R259" s="461">
        <v>42032</v>
      </c>
      <c r="S259" s="461">
        <v>42031</v>
      </c>
      <c r="T259" t="s">
        <v>471</v>
      </c>
    </row>
    <row r="260" spans="1:20" x14ac:dyDescent="0.25">
      <c r="A260" t="s">
        <v>2698</v>
      </c>
      <c r="B260" t="s">
        <v>2699</v>
      </c>
      <c r="C260" t="s">
        <v>2700</v>
      </c>
      <c r="D260" t="s">
        <v>2701</v>
      </c>
      <c r="E260" t="s">
        <v>2702</v>
      </c>
      <c r="F260" s="461">
        <v>32106</v>
      </c>
      <c r="H260" t="s">
        <v>463</v>
      </c>
      <c r="I260" t="s">
        <v>675</v>
      </c>
      <c r="J260" t="s">
        <v>465</v>
      </c>
      <c r="K260" t="s">
        <v>2703</v>
      </c>
      <c r="L260" t="s">
        <v>2704</v>
      </c>
      <c r="M260" t="s">
        <v>2705</v>
      </c>
      <c r="O260" t="s">
        <v>2706</v>
      </c>
      <c r="P260" t="s">
        <v>2707</v>
      </c>
      <c r="Q260" s="461">
        <v>44966</v>
      </c>
      <c r="R260" s="461">
        <v>44966</v>
      </c>
      <c r="S260" s="461">
        <v>44965</v>
      </c>
      <c r="T260" t="s">
        <v>471</v>
      </c>
    </row>
    <row r="261" spans="1:20" x14ac:dyDescent="0.25">
      <c r="A261" t="s">
        <v>2708</v>
      </c>
      <c r="B261" t="s">
        <v>2709</v>
      </c>
      <c r="C261" t="s">
        <v>2710</v>
      </c>
      <c r="D261" t="s">
        <v>2711</v>
      </c>
      <c r="F261" s="461">
        <v>37058</v>
      </c>
      <c r="G261">
        <v>1353469</v>
      </c>
      <c r="H261" t="s">
        <v>476</v>
      </c>
      <c r="J261" t="s">
        <v>465</v>
      </c>
      <c r="K261" t="s">
        <v>2712</v>
      </c>
      <c r="L261" t="s">
        <v>2713</v>
      </c>
      <c r="M261" t="s">
        <v>2714</v>
      </c>
      <c r="O261" t="s">
        <v>2715</v>
      </c>
      <c r="P261" t="s">
        <v>2716</v>
      </c>
      <c r="Q261" s="461">
        <v>44067</v>
      </c>
      <c r="R261" s="461">
        <v>44067</v>
      </c>
      <c r="S261" s="461">
        <v>44066</v>
      </c>
      <c r="T261" t="s">
        <v>483</v>
      </c>
    </row>
    <row r="262" spans="1:20" x14ac:dyDescent="0.25">
      <c r="A262" t="s">
        <v>2717</v>
      </c>
      <c r="B262" t="s">
        <v>2718</v>
      </c>
      <c r="C262" t="s">
        <v>2719</v>
      </c>
      <c r="D262" t="s">
        <v>2720</v>
      </c>
      <c r="F262" s="461">
        <v>36130</v>
      </c>
      <c r="G262">
        <v>816224</v>
      </c>
      <c r="H262" t="s">
        <v>463</v>
      </c>
      <c r="I262" t="s">
        <v>641</v>
      </c>
      <c r="J262" t="s">
        <v>541</v>
      </c>
      <c r="K262" t="s">
        <v>2721</v>
      </c>
      <c r="L262" t="s">
        <v>2722</v>
      </c>
      <c r="M262" t="s">
        <v>2723</v>
      </c>
      <c r="O262" t="s">
        <v>2724</v>
      </c>
      <c r="P262" t="s">
        <v>2725</v>
      </c>
      <c r="Q262" s="461">
        <v>44612</v>
      </c>
      <c r="R262" s="461">
        <v>44612</v>
      </c>
      <c r="S262" s="461">
        <v>44609</v>
      </c>
      <c r="T262" t="s">
        <v>471</v>
      </c>
    </row>
    <row r="263" spans="1:20" x14ac:dyDescent="0.25">
      <c r="A263" t="s">
        <v>2726</v>
      </c>
      <c r="B263" t="s">
        <v>2727</v>
      </c>
      <c r="C263" t="s">
        <v>2728</v>
      </c>
      <c r="D263" t="s">
        <v>2729</v>
      </c>
      <c r="F263" s="461">
        <v>32538</v>
      </c>
      <c r="G263">
        <v>709891</v>
      </c>
      <c r="H263" t="s">
        <v>463</v>
      </c>
      <c r="I263" t="s">
        <v>551</v>
      </c>
      <c r="J263" t="s">
        <v>465</v>
      </c>
      <c r="K263" t="s">
        <v>2730</v>
      </c>
      <c r="L263" t="s">
        <v>2731</v>
      </c>
      <c r="M263" t="s">
        <v>2732</v>
      </c>
      <c r="O263" t="s">
        <v>2733</v>
      </c>
      <c r="P263" t="s">
        <v>2734</v>
      </c>
      <c r="Q263" s="461">
        <v>42074</v>
      </c>
      <c r="R263" s="461">
        <v>42074</v>
      </c>
      <c r="S263" s="461"/>
      <c r="T263" t="s">
        <v>471</v>
      </c>
    </row>
    <row r="264" spans="1:20" x14ac:dyDescent="0.25">
      <c r="A264" t="s">
        <v>2735</v>
      </c>
      <c r="B264" t="s">
        <v>2736</v>
      </c>
      <c r="C264" t="s">
        <v>2737</v>
      </c>
      <c r="D264" t="s">
        <v>1577</v>
      </c>
      <c r="F264" s="461">
        <v>31704</v>
      </c>
      <c r="H264" t="s">
        <v>463</v>
      </c>
      <c r="I264" t="s">
        <v>477</v>
      </c>
      <c r="J264" t="s">
        <v>541</v>
      </c>
      <c r="K264" t="s">
        <v>2738</v>
      </c>
      <c r="L264" t="s">
        <v>2739</v>
      </c>
      <c r="M264" t="s">
        <v>2740</v>
      </c>
      <c r="O264" t="s">
        <v>2741</v>
      </c>
      <c r="P264" t="s">
        <v>2742</v>
      </c>
      <c r="Q264" s="461">
        <v>42783</v>
      </c>
      <c r="R264" s="461">
        <v>43104</v>
      </c>
      <c r="S264" s="461">
        <v>42783</v>
      </c>
      <c r="T264" t="s">
        <v>471</v>
      </c>
    </row>
    <row r="265" spans="1:20" x14ac:dyDescent="0.25">
      <c r="A265" t="s">
        <v>2743</v>
      </c>
      <c r="B265" t="s">
        <v>2744</v>
      </c>
      <c r="C265" t="s">
        <v>2745</v>
      </c>
      <c r="D265" t="s">
        <v>2746</v>
      </c>
      <c r="F265" s="461">
        <v>32724</v>
      </c>
      <c r="H265" t="s">
        <v>463</v>
      </c>
      <c r="I265" t="s">
        <v>631</v>
      </c>
      <c r="J265" t="s">
        <v>541</v>
      </c>
      <c r="K265" t="s">
        <v>2747</v>
      </c>
      <c r="L265" t="s">
        <v>2748</v>
      </c>
      <c r="M265" t="s">
        <v>2749</v>
      </c>
      <c r="O265" t="s">
        <v>2750</v>
      </c>
      <c r="P265" t="s">
        <v>2751</v>
      </c>
      <c r="Q265" s="461">
        <v>44934</v>
      </c>
      <c r="R265" s="461">
        <v>44934</v>
      </c>
      <c r="S265" s="461">
        <v>44929</v>
      </c>
      <c r="T265" t="s">
        <v>471</v>
      </c>
    </row>
    <row r="266" spans="1:20" x14ac:dyDescent="0.25">
      <c r="A266" t="s">
        <v>2752</v>
      </c>
      <c r="B266" t="s">
        <v>2753</v>
      </c>
      <c r="C266" t="s">
        <v>2754</v>
      </c>
      <c r="D266" t="s">
        <v>2755</v>
      </c>
      <c r="E266" t="s">
        <v>2756</v>
      </c>
      <c r="F266" s="461">
        <v>32289</v>
      </c>
      <c r="G266">
        <v>669935</v>
      </c>
      <c r="H266" t="s">
        <v>1646</v>
      </c>
      <c r="J266" t="s">
        <v>529</v>
      </c>
      <c r="K266" t="s">
        <v>2757</v>
      </c>
      <c r="L266" t="s">
        <v>2758</v>
      </c>
      <c r="M266" t="s">
        <v>2759</v>
      </c>
      <c r="O266" t="s">
        <v>2760</v>
      </c>
      <c r="P266" t="s">
        <v>2761</v>
      </c>
      <c r="Q266" s="461">
        <v>44984</v>
      </c>
      <c r="R266" s="461">
        <v>44984</v>
      </c>
      <c r="S266" s="461">
        <v>44983</v>
      </c>
      <c r="T266" t="s">
        <v>483</v>
      </c>
    </row>
    <row r="267" spans="1:20" x14ac:dyDescent="0.25">
      <c r="A267" t="s">
        <v>2762</v>
      </c>
      <c r="B267" t="s">
        <v>2763</v>
      </c>
      <c r="C267" t="s">
        <v>2764</v>
      </c>
      <c r="D267" t="s">
        <v>2765</v>
      </c>
      <c r="F267" s="461">
        <v>31420</v>
      </c>
      <c r="H267" t="s">
        <v>476</v>
      </c>
      <c r="J267" t="s">
        <v>541</v>
      </c>
      <c r="K267" t="s">
        <v>2766</v>
      </c>
      <c r="L267" t="s">
        <v>2767</v>
      </c>
      <c r="M267" t="s">
        <v>2768</v>
      </c>
      <c r="P267" t="s">
        <v>2769</v>
      </c>
      <c r="Q267" s="461">
        <v>43195</v>
      </c>
      <c r="R267" s="461">
        <v>43195</v>
      </c>
      <c r="S267" s="461"/>
      <c r="T267" t="s">
        <v>471</v>
      </c>
    </row>
    <row r="268" spans="1:20" x14ac:dyDescent="0.25">
      <c r="A268" t="s">
        <v>2770</v>
      </c>
      <c r="B268" t="s">
        <v>2771</v>
      </c>
      <c r="C268" t="s">
        <v>2772</v>
      </c>
      <c r="D268" t="s">
        <v>2773</v>
      </c>
      <c r="F268" s="461">
        <v>35306</v>
      </c>
      <c r="G268">
        <v>1192100</v>
      </c>
      <c r="H268" t="s">
        <v>463</v>
      </c>
      <c r="I268" t="s">
        <v>836</v>
      </c>
      <c r="J268" t="s">
        <v>529</v>
      </c>
      <c r="K268" t="s">
        <v>2774</v>
      </c>
      <c r="L268" t="s">
        <v>2775</v>
      </c>
      <c r="M268" t="s">
        <v>2776</v>
      </c>
      <c r="O268" t="s">
        <v>2777</v>
      </c>
      <c r="P268" t="s">
        <v>2778</v>
      </c>
      <c r="Q268" s="461">
        <v>44800</v>
      </c>
      <c r="R268" s="461">
        <v>44800</v>
      </c>
      <c r="S268" s="461">
        <v>44799</v>
      </c>
      <c r="T268" t="s">
        <v>471</v>
      </c>
    </row>
    <row r="269" spans="1:20" x14ac:dyDescent="0.25">
      <c r="A269" t="s">
        <v>2779</v>
      </c>
      <c r="B269" t="s">
        <v>2780</v>
      </c>
      <c r="C269" t="s">
        <v>2764</v>
      </c>
      <c r="D269" t="s">
        <v>1153</v>
      </c>
      <c r="E269" t="s">
        <v>2781</v>
      </c>
      <c r="F269" s="461">
        <v>35731</v>
      </c>
      <c r="G269">
        <v>1066342</v>
      </c>
      <c r="H269" t="s">
        <v>463</v>
      </c>
      <c r="I269" t="s">
        <v>685</v>
      </c>
      <c r="J269" t="s">
        <v>541</v>
      </c>
      <c r="K269" t="s">
        <v>2782</v>
      </c>
      <c r="L269" t="s">
        <v>2783</v>
      </c>
      <c r="M269" t="s">
        <v>2784</v>
      </c>
      <c r="O269" t="s">
        <v>2785</v>
      </c>
      <c r="P269" t="s">
        <v>2769</v>
      </c>
      <c r="Q269" s="461">
        <v>45012</v>
      </c>
      <c r="R269" s="461">
        <v>45012</v>
      </c>
      <c r="S269" s="461">
        <v>45011</v>
      </c>
      <c r="T269" t="s">
        <v>471</v>
      </c>
    </row>
    <row r="270" spans="1:20" x14ac:dyDescent="0.25">
      <c r="A270" t="s">
        <v>2786</v>
      </c>
      <c r="B270" t="s">
        <v>2787</v>
      </c>
      <c r="C270" t="s">
        <v>2764</v>
      </c>
      <c r="D270" t="s">
        <v>2788</v>
      </c>
      <c r="F270" s="461">
        <v>32879</v>
      </c>
      <c r="H270" t="s">
        <v>463</v>
      </c>
      <c r="I270" t="s">
        <v>496</v>
      </c>
      <c r="J270" t="s">
        <v>465</v>
      </c>
      <c r="K270" t="s">
        <v>2789</v>
      </c>
      <c r="L270" t="s">
        <v>2790</v>
      </c>
      <c r="M270" t="s">
        <v>2791</v>
      </c>
      <c r="O270" t="s">
        <v>2792</v>
      </c>
      <c r="P270" t="s">
        <v>2769</v>
      </c>
      <c r="Q270" s="461">
        <v>43852</v>
      </c>
      <c r="R270" s="461">
        <v>43852</v>
      </c>
      <c r="S270" s="461">
        <v>43851</v>
      </c>
      <c r="T270" t="s">
        <v>483</v>
      </c>
    </row>
    <row r="271" spans="1:20" x14ac:dyDescent="0.25">
      <c r="A271" t="s">
        <v>2793</v>
      </c>
      <c r="B271" t="s">
        <v>2794</v>
      </c>
      <c r="C271" t="s">
        <v>2795</v>
      </c>
      <c r="D271" t="s">
        <v>2796</v>
      </c>
      <c r="F271" s="461">
        <v>34968</v>
      </c>
      <c r="G271">
        <v>773916</v>
      </c>
      <c r="H271" t="s">
        <v>476</v>
      </c>
      <c r="J271" t="s">
        <v>465</v>
      </c>
      <c r="K271" t="s">
        <v>2797</v>
      </c>
      <c r="L271" t="s">
        <v>2798</v>
      </c>
      <c r="M271" t="s">
        <v>2799</v>
      </c>
      <c r="O271" t="s">
        <v>2800</v>
      </c>
      <c r="P271" t="s">
        <v>2801</v>
      </c>
      <c r="Q271" s="461">
        <v>42327</v>
      </c>
      <c r="R271" s="461">
        <v>42327</v>
      </c>
      <c r="S271" s="461">
        <v>42240</v>
      </c>
      <c r="T271" t="s">
        <v>471</v>
      </c>
    </row>
    <row r="272" spans="1:20" x14ac:dyDescent="0.25">
      <c r="A272" t="s">
        <v>2802</v>
      </c>
      <c r="B272" t="s">
        <v>2803</v>
      </c>
      <c r="C272" t="s">
        <v>2804</v>
      </c>
      <c r="D272" t="s">
        <v>2805</v>
      </c>
      <c r="F272" s="461">
        <v>22576</v>
      </c>
      <c r="H272" t="s">
        <v>1646</v>
      </c>
      <c r="I272" t="s">
        <v>488</v>
      </c>
      <c r="J272" t="s">
        <v>541</v>
      </c>
      <c r="K272" t="s">
        <v>2806</v>
      </c>
      <c r="L272" t="s">
        <v>2807</v>
      </c>
      <c r="M272" t="s">
        <v>2808</v>
      </c>
      <c r="O272" t="s">
        <v>2809</v>
      </c>
      <c r="P272" t="s">
        <v>2810</v>
      </c>
      <c r="Q272" s="461">
        <v>42041</v>
      </c>
      <c r="R272" s="461">
        <v>42041</v>
      </c>
      <c r="S272" s="461">
        <v>42041</v>
      </c>
      <c r="T272" t="s">
        <v>471</v>
      </c>
    </row>
    <row r="273" spans="1:20" x14ac:dyDescent="0.25">
      <c r="A273" t="s">
        <v>2811</v>
      </c>
      <c r="B273" t="s">
        <v>2812</v>
      </c>
      <c r="C273" t="s">
        <v>2813</v>
      </c>
      <c r="D273" t="s">
        <v>2814</v>
      </c>
      <c r="F273" s="461">
        <v>36661</v>
      </c>
      <c r="G273">
        <v>849371</v>
      </c>
      <c r="H273" t="s">
        <v>463</v>
      </c>
      <c r="I273" t="s">
        <v>846</v>
      </c>
      <c r="J273" t="s">
        <v>465</v>
      </c>
      <c r="K273" t="s">
        <v>2815</v>
      </c>
      <c r="L273" t="s">
        <v>2816</v>
      </c>
      <c r="M273" t="s">
        <v>2817</v>
      </c>
      <c r="O273" t="s">
        <v>2818</v>
      </c>
      <c r="P273" t="s">
        <v>2819</v>
      </c>
      <c r="Q273" s="461">
        <v>44612</v>
      </c>
      <c r="R273" s="461">
        <v>44612</v>
      </c>
      <c r="S273" s="461">
        <v>44603</v>
      </c>
      <c r="T273" t="s">
        <v>483</v>
      </c>
    </row>
    <row r="274" spans="1:20" x14ac:dyDescent="0.25">
      <c r="A274" t="s">
        <v>2820</v>
      </c>
      <c r="B274" t="s">
        <v>2821</v>
      </c>
      <c r="C274" t="s">
        <v>2822</v>
      </c>
      <c r="D274" t="s">
        <v>2823</v>
      </c>
      <c r="F274" s="461">
        <v>37023</v>
      </c>
      <c r="G274">
        <v>816237</v>
      </c>
      <c r="H274" t="s">
        <v>463</v>
      </c>
      <c r="I274" t="s">
        <v>836</v>
      </c>
      <c r="J274" t="s">
        <v>465</v>
      </c>
      <c r="K274" t="s">
        <v>2824</v>
      </c>
      <c r="L274" t="s">
        <v>2825</v>
      </c>
      <c r="M274" t="s">
        <v>2826</v>
      </c>
      <c r="O274" t="s">
        <v>2827</v>
      </c>
      <c r="P274" t="s">
        <v>2828</v>
      </c>
      <c r="Q274" s="461">
        <v>44800</v>
      </c>
      <c r="R274" s="461">
        <v>44800</v>
      </c>
      <c r="S274" s="461">
        <v>44799</v>
      </c>
      <c r="T274" t="s">
        <v>471</v>
      </c>
    </row>
    <row r="275" spans="1:20" x14ac:dyDescent="0.25">
      <c r="A275" t="s">
        <v>2829</v>
      </c>
      <c r="B275" t="s">
        <v>2830</v>
      </c>
      <c r="C275" t="s">
        <v>2831</v>
      </c>
      <c r="D275" t="s">
        <v>2240</v>
      </c>
      <c r="F275" s="461">
        <v>23081</v>
      </c>
      <c r="H275" t="s">
        <v>729</v>
      </c>
      <c r="I275" t="s">
        <v>685</v>
      </c>
      <c r="J275" t="s">
        <v>497</v>
      </c>
      <c r="K275" t="s">
        <v>2832</v>
      </c>
      <c r="L275" t="s">
        <v>2833</v>
      </c>
      <c r="M275" t="s">
        <v>2834</v>
      </c>
      <c r="P275" t="s">
        <v>2835</v>
      </c>
      <c r="Q275" s="461">
        <v>42787</v>
      </c>
      <c r="R275" s="461">
        <v>43104</v>
      </c>
      <c r="S275" s="461">
        <v>42787</v>
      </c>
      <c r="T275" t="s">
        <v>471</v>
      </c>
    </row>
    <row r="276" spans="1:20" x14ac:dyDescent="0.25">
      <c r="A276" t="s">
        <v>2836</v>
      </c>
      <c r="B276" t="s">
        <v>2837</v>
      </c>
      <c r="C276" t="s">
        <v>2838</v>
      </c>
      <c r="D276" t="s">
        <v>2839</v>
      </c>
      <c r="F276" s="461">
        <v>35655</v>
      </c>
      <c r="G276">
        <v>1660864</v>
      </c>
      <c r="H276" t="s">
        <v>463</v>
      </c>
      <c r="I276" t="s">
        <v>703</v>
      </c>
      <c r="J276" t="s">
        <v>541</v>
      </c>
      <c r="K276" t="s">
        <v>2840</v>
      </c>
      <c r="L276" t="s">
        <v>2841</v>
      </c>
      <c r="M276" t="s">
        <v>2842</v>
      </c>
      <c r="O276" t="s">
        <v>2843</v>
      </c>
      <c r="P276" t="s">
        <v>2844</v>
      </c>
      <c r="Q276" s="461">
        <v>42625</v>
      </c>
      <c r="R276" s="461">
        <v>43034</v>
      </c>
      <c r="S276" s="461">
        <v>43104</v>
      </c>
      <c r="T276" t="s">
        <v>471</v>
      </c>
    </row>
    <row r="277" spans="1:20" x14ac:dyDescent="0.25">
      <c r="A277" t="s">
        <v>2845</v>
      </c>
      <c r="B277" t="s">
        <v>2846</v>
      </c>
      <c r="C277" t="s">
        <v>2847</v>
      </c>
      <c r="D277" t="s">
        <v>2848</v>
      </c>
      <c r="F277" s="461">
        <v>31238</v>
      </c>
      <c r="H277" t="s">
        <v>463</v>
      </c>
      <c r="I277" t="s">
        <v>477</v>
      </c>
      <c r="J277" t="s">
        <v>541</v>
      </c>
      <c r="K277" t="s">
        <v>2849</v>
      </c>
      <c r="L277" t="s">
        <v>2850</v>
      </c>
      <c r="N277" t="s">
        <v>2851</v>
      </c>
      <c r="O277" t="s">
        <v>2852</v>
      </c>
      <c r="P277" t="s">
        <v>2853</v>
      </c>
      <c r="Q277" s="461">
        <v>43187</v>
      </c>
      <c r="R277" s="461">
        <v>43187</v>
      </c>
      <c r="S277" s="461">
        <v>43185</v>
      </c>
      <c r="T277" t="s">
        <v>471</v>
      </c>
    </row>
    <row r="278" spans="1:20" x14ac:dyDescent="0.25">
      <c r="A278" t="s">
        <v>2854</v>
      </c>
      <c r="B278" t="s">
        <v>2855</v>
      </c>
      <c r="C278" t="s">
        <v>2856</v>
      </c>
      <c r="D278" t="s">
        <v>2857</v>
      </c>
      <c r="F278" s="461">
        <v>30966</v>
      </c>
      <c r="H278" t="s">
        <v>476</v>
      </c>
      <c r="J278" t="s">
        <v>465</v>
      </c>
      <c r="K278" t="s">
        <v>2858</v>
      </c>
      <c r="L278" t="s">
        <v>2859</v>
      </c>
      <c r="M278" t="s">
        <v>2860</v>
      </c>
      <c r="O278" t="s">
        <v>2861</v>
      </c>
      <c r="P278" t="s">
        <v>2862</v>
      </c>
      <c r="Q278" s="461">
        <v>44536</v>
      </c>
      <c r="R278" s="461">
        <v>44536</v>
      </c>
      <c r="S278" s="461">
        <v>44535</v>
      </c>
      <c r="T278" t="s">
        <v>471</v>
      </c>
    </row>
    <row r="279" spans="1:20" x14ac:dyDescent="0.25">
      <c r="A279" t="s">
        <v>2863</v>
      </c>
      <c r="B279" t="s">
        <v>2864</v>
      </c>
      <c r="C279" t="s">
        <v>2865</v>
      </c>
      <c r="D279" t="s">
        <v>2866</v>
      </c>
      <c r="F279" s="461">
        <v>35268</v>
      </c>
      <c r="H279" t="s">
        <v>463</v>
      </c>
      <c r="I279" t="s">
        <v>846</v>
      </c>
      <c r="J279" t="s">
        <v>541</v>
      </c>
      <c r="K279" t="s">
        <v>2867</v>
      </c>
      <c r="L279" t="s">
        <v>2868</v>
      </c>
      <c r="M279" t="s">
        <v>2869</v>
      </c>
      <c r="O279" t="s">
        <v>2870</v>
      </c>
      <c r="P279" t="s">
        <v>2871</v>
      </c>
      <c r="Q279" s="461">
        <v>44612</v>
      </c>
      <c r="R279" s="461">
        <v>44612</v>
      </c>
      <c r="S279" s="461">
        <v>44606</v>
      </c>
      <c r="T279" t="s">
        <v>471</v>
      </c>
    </row>
    <row r="280" spans="1:20" x14ac:dyDescent="0.25">
      <c r="A280" t="s">
        <v>2872</v>
      </c>
      <c r="B280" t="s">
        <v>2873</v>
      </c>
      <c r="C280" t="s">
        <v>2838</v>
      </c>
      <c r="D280" t="s">
        <v>2874</v>
      </c>
      <c r="E280" t="s">
        <v>2875</v>
      </c>
      <c r="F280" s="461"/>
      <c r="H280" t="s">
        <v>463</v>
      </c>
      <c r="I280" t="s">
        <v>836</v>
      </c>
      <c r="J280" t="s">
        <v>497</v>
      </c>
      <c r="K280" t="s">
        <v>2876</v>
      </c>
      <c r="L280" t="s">
        <v>2877</v>
      </c>
      <c r="M280" t="s">
        <v>2878</v>
      </c>
      <c r="O280" t="s">
        <v>2879</v>
      </c>
      <c r="P280" t="s">
        <v>2844</v>
      </c>
      <c r="Q280" s="461">
        <v>44956</v>
      </c>
      <c r="R280" s="461">
        <v>44956</v>
      </c>
      <c r="S280" s="461">
        <v>44953</v>
      </c>
      <c r="T280" t="s">
        <v>471</v>
      </c>
    </row>
    <row r="281" spans="1:20" x14ac:dyDescent="0.25">
      <c r="A281" t="s">
        <v>2880</v>
      </c>
      <c r="B281" t="s">
        <v>2881</v>
      </c>
      <c r="C281" t="s">
        <v>2882</v>
      </c>
      <c r="D281" t="s">
        <v>2883</v>
      </c>
      <c r="E281" t="s">
        <v>2884</v>
      </c>
      <c r="F281" s="461">
        <v>21588</v>
      </c>
      <c r="H281" t="s">
        <v>527</v>
      </c>
      <c r="I281" t="s">
        <v>675</v>
      </c>
      <c r="J281" t="s">
        <v>465</v>
      </c>
      <c r="K281" t="s">
        <v>2885</v>
      </c>
      <c r="L281" t="s">
        <v>2886</v>
      </c>
      <c r="N281" t="s">
        <v>2887</v>
      </c>
      <c r="O281" t="s">
        <v>2888</v>
      </c>
      <c r="P281" t="s">
        <v>2889</v>
      </c>
      <c r="Q281" s="461">
        <v>43850</v>
      </c>
      <c r="R281" s="461">
        <v>43850</v>
      </c>
      <c r="S281" s="461">
        <v>43847</v>
      </c>
      <c r="T281" t="s">
        <v>471</v>
      </c>
    </row>
    <row r="282" spans="1:20" x14ac:dyDescent="0.25">
      <c r="A282" t="s">
        <v>2890</v>
      </c>
      <c r="B282" t="s">
        <v>2891</v>
      </c>
      <c r="C282" t="s">
        <v>2892</v>
      </c>
      <c r="D282" t="s">
        <v>2893</v>
      </c>
      <c r="E282" t="s">
        <v>2894</v>
      </c>
      <c r="F282" s="461">
        <v>30916</v>
      </c>
      <c r="H282" t="s">
        <v>527</v>
      </c>
      <c r="I282" t="s">
        <v>675</v>
      </c>
      <c r="J282" t="s">
        <v>529</v>
      </c>
      <c r="K282" t="s">
        <v>2895</v>
      </c>
      <c r="L282" t="s">
        <v>1972</v>
      </c>
      <c r="M282" t="s">
        <v>2896</v>
      </c>
      <c r="O282" t="s">
        <v>2897</v>
      </c>
      <c r="P282" t="s">
        <v>2898</v>
      </c>
      <c r="Q282" s="461">
        <v>44959</v>
      </c>
      <c r="R282" s="461">
        <v>44959</v>
      </c>
      <c r="S282" s="461">
        <v>44959</v>
      </c>
      <c r="T282" t="s">
        <v>471</v>
      </c>
    </row>
    <row r="283" spans="1:20" x14ac:dyDescent="0.25">
      <c r="A283" t="s">
        <v>2899</v>
      </c>
      <c r="B283" t="s">
        <v>2900</v>
      </c>
      <c r="C283" t="s">
        <v>2901</v>
      </c>
      <c r="D283" t="s">
        <v>2902</v>
      </c>
      <c r="F283" s="461">
        <v>33754</v>
      </c>
      <c r="G283">
        <v>853911</v>
      </c>
      <c r="H283" t="s">
        <v>463</v>
      </c>
      <c r="I283" t="s">
        <v>464</v>
      </c>
      <c r="J283" t="s">
        <v>541</v>
      </c>
      <c r="K283" t="s">
        <v>2903</v>
      </c>
      <c r="L283" t="s">
        <v>2904</v>
      </c>
      <c r="M283" t="s">
        <v>2905</v>
      </c>
      <c r="O283" t="s">
        <v>2906</v>
      </c>
      <c r="P283" t="s">
        <v>2907</v>
      </c>
      <c r="Q283" s="461">
        <v>43502</v>
      </c>
      <c r="R283" s="461">
        <v>43502</v>
      </c>
      <c r="S283" s="461">
        <v>43500</v>
      </c>
      <c r="T283" t="s">
        <v>471</v>
      </c>
    </row>
    <row r="284" spans="1:20" x14ac:dyDescent="0.25">
      <c r="A284" t="s">
        <v>2908</v>
      </c>
      <c r="B284" t="s">
        <v>2909</v>
      </c>
      <c r="C284" t="s">
        <v>2910</v>
      </c>
      <c r="D284" t="s">
        <v>2911</v>
      </c>
      <c r="F284" s="461">
        <v>34468</v>
      </c>
      <c r="H284" t="s">
        <v>463</v>
      </c>
      <c r="I284" t="s">
        <v>694</v>
      </c>
      <c r="J284" t="s">
        <v>541</v>
      </c>
      <c r="K284" t="s">
        <v>2912</v>
      </c>
      <c r="L284" t="s">
        <v>2913</v>
      </c>
      <c r="M284" t="s">
        <v>2914</v>
      </c>
      <c r="O284" t="s">
        <v>2915</v>
      </c>
      <c r="P284" t="s">
        <v>2916</v>
      </c>
      <c r="Q284" s="461">
        <v>44612</v>
      </c>
      <c r="R284" s="461">
        <v>44612</v>
      </c>
      <c r="S284" s="461">
        <v>44611</v>
      </c>
      <c r="T284" t="s">
        <v>471</v>
      </c>
    </row>
    <row r="285" spans="1:20" x14ac:dyDescent="0.25">
      <c r="A285" t="s">
        <v>2917</v>
      </c>
      <c r="B285" t="s">
        <v>2918</v>
      </c>
      <c r="C285" t="s">
        <v>2919</v>
      </c>
      <c r="D285" t="s">
        <v>2920</v>
      </c>
      <c r="F285" s="461">
        <v>37847</v>
      </c>
      <c r="H285" t="s">
        <v>463</v>
      </c>
      <c r="I285" t="s">
        <v>846</v>
      </c>
      <c r="J285" t="s">
        <v>541</v>
      </c>
      <c r="K285" t="s">
        <v>2921</v>
      </c>
      <c r="L285" t="s">
        <v>2922</v>
      </c>
      <c r="M285" t="s">
        <v>2923</v>
      </c>
      <c r="O285" t="s">
        <v>2924</v>
      </c>
      <c r="P285" t="s">
        <v>2925</v>
      </c>
      <c r="Q285" s="461">
        <v>44612</v>
      </c>
      <c r="R285" s="461">
        <v>44612</v>
      </c>
      <c r="S285" s="461">
        <v>44603</v>
      </c>
      <c r="T285" t="s">
        <v>471</v>
      </c>
    </row>
    <row r="286" spans="1:20" x14ac:dyDescent="0.25">
      <c r="A286" t="s">
        <v>2926</v>
      </c>
      <c r="B286" t="s">
        <v>2927</v>
      </c>
      <c r="C286" t="s">
        <v>2928</v>
      </c>
      <c r="D286" t="s">
        <v>2929</v>
      </c>
      <c r="F286" s="461">
        <v>34062</v>
      </c>
      <c r="H286" t="s">
        <v>476</v>
      </c>
      <c r="J286" t="s">
        <v>541</v>
      </c>
      <c r="K286" t="s">
        <v>2930</v>
      </c>
      <c r="L286" t="s">
        <v>2931</v>
      </c>
      <c r="M286" t="s">
        <v>2932</v>
      </c>
      <c r="O286" t="s">
        <v>2933</v>
      </c>
      <c r="P286" t="s">
        <v>2934</v>
      </c>
      <c r="Q286" s="461">
        <v>42402</v>
      </c>
      <c r="R286" s="461">
        <v>43034</v>
      </c>
      <c r="S286" s="461"/>
      <c r="T286" t="s">
        <v>483</v>
      </c>
    </row>
    <row r="287" spans="1:20" x14ac:dyDescent="0.25">
      <c r="A287" t="s">
        <v>2935</v>
      </c>
      <c r="B287" t="s">
        <v>2936</v>
      </c>
      <c r="C287" t="s">
        <v>2937</v>
      </c>
      <c r="D287" t="s">
        <v>2145</v>
      </c>
      <c r="E287" t="s">
        <v>2938</v>
      </c>
      <c r="F287" s="461">
        <v>21567</v>
      </c>
      <c r="H287" t="s">
        <v>729</v>
      </c>
      <c r="I287" t="s">
        <v>675</v>
      </c>
      <c r="J287" t="s">
        <v>497</v>
      </c>
      <c r="K287" t="s">
        <v>2939</v>
      </c>
      <c r="L287" t="s">
        <v>2940</v>
      </c>
      <c r="M287" t="s">
        <v>2941</v>
      </c>
      <c r="O287" t="s">
        <v>2942</v>
      </c>
      <c r="P287" t="s">
        <v>2943</v>
      </c>
      <c r="Q287" s="461">
        <v>44959</v>
      </c>
      <c r="R287" s="461">
        <v>44959</v>
      </c>
      <c r="S287" s="461">
        <v>44958</v>
      </c>
      <c r="T287" t="s">
        <v>471</v>
      </c>
    </row>
    <row r="288" spans="1:20" x14ac:dyDescent="0.25">
      <c r="A288" t="s">
        <v>2944</v>
      </c>
      <c r="B288" t="s">
        <v>2945</v>
      </c>
      <c r="C288" t="s">
        <v>2937</v>
      </c>
      <c r="D288" t="s">
        <v>2946</v>
      </c>
      <c r="F288" s="461">
        <v>26670</v>
      </c>
      <c r="H288" t="s">
        <v>527</v>
      </c>
      <c r="I288" t="s">
        <v>694</v>
      </c>
      <c r="J288" t="s">
        <v>465</v>
      </c>
      <c r="K288" t="s">
        <v>2947</v>
      </c>
      <c r="L288" t="s">
        <v>2948</v>
      </c>
      <c r="N288" t="s">
        <v>2949</v>
      </c>
      <c r="O288" t="s">
        <v>2950</v>
      </c>
      <c r="P288" t="s">
        <v>2943</v>
      </c>
      <c r="Q288" s="461">
        <v>42031</v>
      </c>
      <c r="R288" s="461">
        <v>42031</v>
      </c>
      <c r="S288" s="461">
        <v>42031</v>
      </c>
      <c r="T288" t="s">
        <v>471</v>
      </c>
    </row>
    <row r="289" spans="1:20" x14ac:dyDescent="0.25">
      <c r="A289" t="s">
        <v>2951</v>
      </c>
      <c r="B289" t="s">
        <v>2952</v>
      </c>
      <c r="C289" t="s">
        <v>2937</v>
      </c>
      <c r="D289" t="s">
        <v>2365</v>
      </c>
      <c r="F289" s="461">
        <v>24197</v>
      </c>
      <c r="G289">
        <v>1143060</v>
      </c>
      <c r="H289" t="s">
        <v>463</v>
      </c>
      <c r="I289" t="s">
        <v>464</v>
      </c>
      <c r="J289" t="s">
        <v>529</v>
      </c>
      <c r="K289" t="s">
        <v>2953</v>
      </c>
      <c r="L289" t="s">
        <v>2954</v>
      </c>
      <c r="M289" t="s">
        <v>2955</v>
      </c>
      <c r="O289" t="s">
        <v>2956</v>
      </c>
      <c r="P289" t="s">
        <v>2943</v>
      </c>
      <c r="Q289" s="461">
        <v>44612</v>
      </c>
      <c r="R289" s="461">
        <v>44612</v>
      </c>
      <c r="S289" s="461">
        <v>44604</v>
      </c>
      <c r="T289" t="s">
        <v>471</v>
      </c>
    </row>
    <row r="290" spans="1:20" x14ac:dyDescent="0.25">
      <c r="A290" t="s">
        <v>2957</v>
      </c>
      <c r="B290" t="s">
        <v>2958</v>
      </c>
      <c r="C290" t="s">
        <v>2937</v>
      </c>
      <c r="D290" t="s">
        <v>2959</v>
      </c>
      <c r="F290" s="461">
        <v>36064</v>
      </c>
      <c r="H290" t="s">
        <v>476</v>
      </c>
      <c r="J290" t="s">
        <v>541</v>
      </c>
      <c r="K290" t="s">
        <v>2960</v>
      </c>
      <c r="L290" t="s">
        <v>2961</v>
      </c>
      <c r="M290" t="s">
        <v>2962</v>
      </c>
      <c r="O290" t="s">
        <v>2963</v>
      </c>
      <c r="P290" t="s">
        <v>2943</v>
      </c>
      <c r="Q290" s="461">
        <v>44147</v>
      </c>
      <c r="R290" s="461">
        <v>44147</v>
      </c>
      <c r="S290" s="461">
        <v>44138</v>
      </c>
      <c r="T290" t="s">
        <v>483</v>
      </c>
    </row>
    <row r="291" spans="1:20" x14ac:dyDescent="0.25">
      <c r="A291" t="s">
        <v>2964</v>
      </c>
      <c r="B291" t="s">
        <v>2965</v>
      </c>
      <c r="C291" t="s">
        <v>2966</v>
      </c>
      <c r="D291" t="s">
        <v>2967</v>
      </c>
      <c r="F291" s="461">
        <v>34433</v>
      </c>
      <c r="G291">
        <v>1264028</v>
      </c>
      <c r="H291" t="s">
        <v>463</v>
      </c>
      <c r="I291" t="s">
        <v>540</v>
      </c>
      <c r="J291" t="s">
        <v>541</v>
      </c>
      <c r="K291" t="s">
        <v>2968</v>
      </c>
      <c r="L291" t="s">
        <v>2969</v>
      </c>
      <c r="M291" t="s">
        <v>2970</v>
      </c>
      <c r="O291" t="s">
        <v>2971</v>
      </c>
      <c r="P291" t="s">
        <v>2972</v>
      </c>
      <c r="Q291" s="461">
        <v>43851</v>
      </c>
      <c r="R291" s="461">
        <v>43851</v>
      </c>
      <c r="S291" s="461">
        <v>43851</v>
      </c>
      <c r="T291" t="s">
        <v>471</v>
      </c>
    </row>
    <row r="292" spans="1:20" x14ac:dyDescent="0.25">
      <c r="A292" t="s">
        <v>2973</v>
      </c>
      <c r="B292" t="s">
        <v>2974</v>
      </c>
      <c r="C292" t="s">
        <v>2975</v>
      </c>
      <c r="D292" t="s">
        <v>2976</v>
      </c>
      <c r="F292" s="461">
        <v>33586</v>
      </c>
      <c r="G292">
        <v>564816</v>
      </c>
      <c r="H292" t="s">
        <v>463</v>
      </c>
      <c r="I292" t="s">
        <v>703</v>
      </c>
      <c r="J292" t="s">
        <v>465</v>
      </c>
      <c r="K292" t="s">
        <v>2977</v>
      </c>
      <c r="L292" t="s">
        <v>2978</v>
      </c>
      <c r="M292" t="s">
        <v>2979</v>
      </c>
      <c r="O292" t="s">
        <v>2980</v>
      </c>
      <c r="P292" t="s">
        <v>2981</v>
      </c>
      <c r="Q292" s="461">
        <v>44823</v>
      </c>
      <c r="R292" s="461">
        <v>44823</v>
      </c>
      <c r="S292" s="461">
        <v>44822</v>
      </c>
      <c r="T292" t="s">
        <v>471</v>
      </c>
    </row>
    <row r="293" spans="1:20" x14ac:dyDescent="0.25">
      <c r="A293" t="s">
        <v>2982</v>
      </c>
      <c r="B293" t="s">
        <v>2983</v>
      </c>
      <c r="C293" t="s">
        <v>2984</v>
      </c>
      <c r="D293" t="s">
        <v>1827</v>
      </c>
      <c r="F293" s="461">
        <v>34767</v>
      </c>
      <c r="H293" t="s">
        <v>463</v>
      </c>
      <c r="I293" t="s">
        <v>685</v>
      </c>
      <c r="J293" t="s">
        <v>541</v>
      </c>
      <c r="K293" t="s">
        <v>2985</v>
      </c>
      <c r="L293" t="s">
        <v>2986</v>
      </c>
      <c r="M293" t="s">
        <v>2987</v>
      </c>
      <c r="O293" t="s">
        <v>2988</v>
      </c>
      <c r="P293" t="s">
        <v>2989</v>
      </c>
      <c r="Q293" s="461">
        <v>44595</v>
      </c>
      <c r="R293" s="461">
        <v>44595</v>
      </c>
      <c r="S293" s="461">
        <v>44592</v>
      </c>
      <c r="T293" t="s">
        <v>471</v>
      </c>
    </row>
    <row r="294" spans="1:20" x14ac:dyDescent="0.25">
      <c r="A294" t="s">
        <v>2990</v>
      </c>
      <c r="B294" t="s">
        <v>2991</v>
      </c>
      <c r="C294" t="s">
        <v>2992</v>
      </c>
      <c r="D294" t="s">
        <v>2993</v>
      </c>
      <c r="F294" s="461">
        <v>35598</v>
      </c>
      <c r="G294">
        <v>861793</v>
      </c>
      <c r="H294" t="s">
        <v>463</v>
      </c>
      <c r="I294" t="s">
        <v>551</v>
      </c>
      <c r="J294" t="s">
        <v>529</v>
      </c>
      <c r="K294" t="s">
        <v>2994</v>
      </c>
      <c r="L294" t="s">
        <v>2995</v>
      </c>
      <c r="M294" t="s">
        <v>2996</v>
      </c>
      <c r="O294" t="s">
        <v>2997</v>
      </c>
      <c r="P294" t="s">
        <v>2998</v>
      </c>
      <c r="Q294" s="461">
        <v>43898</v>
      </c>
      <c r="R294" s="461">
        <v>43898</v>
      </c>
      <c r="S294" s="461">
        <v>43895</v>
      </c>
      <c r="T294" t="s">
        <v>471</v>
      </c>
    </row>
    <row r="295" spans="1:20" x14ac:dyDescent="0.25">
      <c r="A295" t="s">
        <v>2999</v>
      </c>
      <c r="B295" t="s">
        <v>3000</v>
      </c>
      <c r="C295" t="s">
        <v>3001</v>
      </c>
      <c r="D295" t="s">
        <v>3002</v>
      </c>
      <c r="F295" s="461">
        <v>32900</v>
      </c>
      <c r="H295" t="s">
        <v>463</v>
      </c>
      <c r="I295" t="s">
        <v>685</v>
      </c>
      <c r="J295" t="s">
        <v>465</v>
      </c>
      <c r="K295" t="s">
        <v>3003</v>
      </c>
      <c r="L295" t="s">
        <v>3004</v>
      </c>
      <c r="M295" t="s">
        <v>3005</v>
      </c>
      <c r="O295" t="s">
        <v>3006</v>
      </c>
      <c r="P295" t="s">
        <v>3007</v>
      </c>
      <c r="Q295" s="461">
        <v>44602</v>
      </c>
      <c r="R295" s="461">
        <v>44602</v>
      </c>
      <c r="S295" s="461">
        <v>44596</v>
      </c>
      <c r="T295" t="s">
        <v>483</v>
      </c>
    </row>
    <row r="296" spans="1:20" x14ac:dyDescent="0.25">
      <c r="A296" t="s">
        <v>3008</v>
      </c>
      <c r="B296" t="s">
        <v>3009</v>
      </c>
      <c r="C296" t="s">
        <v>3010</v>
      </c>
      <c r="D296" t="s">
        <v>3011</v>
      </c>
      <c r="F296" s="461"/>
      <c r="H296" t="s">
        <v>527</v>
      </c>
      <c r="I296" t="s">
        <v>551</v>
      </c>
      <c r="K296" t="s">
        <v>3012</v>
      </c>
      <c r="L296" t="s">
        <v>3013</v>
      </c>
      <c r="M296" t="s">
        <v>3014</v>
      </c>
      <c r="N296" t="s">
        <v>3015</v>
      </c>
      <c r="P296" t="s">
        <v>3016</v>
      </c>
      <c r="Q296" s="461">
        <v>41640</v>
      </c>
      <c r="R296" s="461">
        <v>41779</v>
      </c>
      <c r="S296" s="461"/>
      <c r="T296" t="s">
        <v>471</v>
      </c>
    </row>
    <row r="297" spans="1:20" x14ac:dyDescent="0.25">
      <c r="A297" t="s">
        <v>3017</v>
      </c>
      <c r="B297" t="s">
        <v>3018</v>
      </c>
      <c r="C297" t="s">
        <v>3019</v>
      </c>
      <c r="D297" t="s">
        <v>3020</v>
      </c>
      <c r="F297" s="461">
        <v>36125</v>
      </c>
      <c r="G297">
        <v>665036</v>
      </c>
      <c r="H297" t="s">
        <v>476</v>
      </c>
      <c r="J297" t="s">
        <v>529</v>
      </c>
      <c r="K297" t="s">
        <v>3021</v>
      </c>
      <c r="L297" t="s">
        <v>3022</v>
      </c>
      <c r="M297" t="s">
        <v>3023</v>
      </c>
      <c r="O297" t="s">
        <v>3024</v>
      </c>
      <c r="P297" t="s">
        <v>3025</v>
      </c>
      <c r="Q297" s="461">
        <v>43426</v>
      </c>
      <c r="R297" s="461">
        <v>43426</v>
      </c>
      <c r="S297" s="461">
        <v>43426</v>
      </c>
      <c r="T297" t="s">
        <v>483</v>
      </c>
    </row>
    <row r="298" spans="1:20" x14ac:dyDescent="0.25">
      <c r="A298" t="s">
        <v>3026</v>
      </c>
      <c r="B298" t="s">
        <v>3027</v>
      </c>
      <c r="C298" t="s">
        <v>3028</v>
      </c>
      <c r="D298" t="s">
        <v>3029</v>
      </c>
      <c r="F298" s="461">
        <v>33058</v>
      </c>
      <c r="H298" t="s">
        <v>463</v>
      </c>
      <c r="I298" t="s">
        <v>540</v>
      </c>
      <c r="J298" t="s">
        <v>465</v>
      </c>
      <c r="K298" t="s">
        <v>3030</v>
      </c>
      <c r="L298" t="s">
        <v>3031</v>
      </c>
      <c r="M298" t="s">
        <v>3032</v>
      </c>
      <c r="O298" t="s">
        <v>3033</v>
      </c>
      <c r="P298" t="s">
        <v>3034</v>
      </c>
      <c r="Q298" s="461">
        <v>43851</v>
      </c>
      <c r="R298" s="461">
        <v>43851</v>
      </c>
      <c r="S298" s="461">
        <v>43850</v>
      </c>
      <c r="T298" t="s">
        <v>471</v>
      </c>
    </row>
    <row r="299" spans="1:20" x14ac:dyDescent="0.25">
      <c r="A299" t="s">
        <v>3035</v>
      </c>
      <c r="B299" t="s">
        <v>3036</v>
      </c>
      <c r="C299" t="s">
        <v>3028</v>
      </c>
      <c r="D299" t="s">
        <v>3037</v>
      </c>
      <c r="F299" s="461">
        <v>35084</v>
      </c>
      <c r="H299" t="s">
        <v>476</v>
      </c>
      <c r="J299" t="s">
        <v>541</v>
      </c>
      <c r="K299" t="s">
        <v>3038</v>
      </c>
      <c r="L299" t="s">
        <v>3039</v>
      </c>
      <c r="N299" t="s">
        <v>3040</v>
      </c>
      <c r="O299" t="s">
        <v>3041</v>
      </c>
      <c r="P299" t="s">
        <v>3034</v>
      </c>
      <c r="Q299" s="461">
        <v>43138</v>
      </c>
      <c r="R299" s="461">
        <v>43138</v>
      </c>
      <c r="S299" s="461"/>
      <c r="T299" t="s">
        <v>483</v>
      </c>
    </row>
    <row r="300" spans="1:20" x14ac:dyDescent="0.25">
      <c r="A300" t="s">
        <v>3042</v>
      </c>
      <c r="B300" t="s">
        <v>3043</v>
      </c>
      <c r="C300" t="s">
        <v>3044</v>
      </c>
      <c r="D300" t="s">
        <v>3045</v>
      </c>
      <c r="F300" s="461">
        <v>34707</v>
      </c>
      <c r="G300">
        <v>924915</v>
      </c>
      <c r="H300" t="s">
        <v>476</v>
      </c>
      <c r="I300" t="s">
        <v>488</v>
      </c>
      <c r="J300" t="s">
        <v>465</v>
      </c>
      <c r="K300" t="s">
        <v>3046</v>
      </c>
      <c r="L300" t="s">
        <v>3047</v>
      </c>
      <c r="M300" t="s">
        <v>3048</v>
      </c>
      <c r="O300" t="s">
        <v>3049</v>
      </c>
      <c r="P300" t="s">
        <v>3050</v>
      </c>
      <c r="Q300" s="461">
        <v>42031</v>
      </c>
      <c r="R300" s="461">
        <v>42031</v>
      </c>
      <c r="S300" s="461">
        <v>43343</v>
      </c>
      <c r="T300" t="s">
        <v>471</v>
      </c>
    </row>
    <row r="301" spans="1:20" x14ac:dyDescent="0.25">
      <c r="A301" t="s">
        <v>3051</v>
      </c>
      <c r="B301" t="s">
        <v>3052</v>
      </c>
      <c r="C301" t="s">
        <v>3044</v>
      </c>
      <c r="D301" t="s">
        <v>3053</v>
      </c>
      <c r="F301" s="461">
        <v>34281</v>
      </c>
      <c r="H301" t="s">
        <v>527</v>
      </c>
      <c r="I301" t="s">
        <v>631</v>
      </c>
      <c r="J301" t="s">
        <v>541</v>
      </c>
      <c r="K301" t="s">
        <v>3054</v>
      </c>
      <c r="L301" t="s">
        <v>1666</v>
      </c>
      <c r="N301" t="s">
        <v>3055</v>
      </c>
      <c r="O301" t="s">
        <v>3056</v>
      </c>
      <c r="P301" t="s">
        <v>3050</v>
      </c>
      <c r="Q301" s="461">
        <v>43899</v>
      </c>
      <c r="R301" s="461">
        <v>43899</v>
      </c>
      <c r="S301" s="461">
        <v>43898</v>
      </c>
      <c r="T301" t="s">
        <v>471</v>
      </c>
    </row>
    <row r="302" spans="1:20" x14ac:dyDescent="0.25">
      <c r="A302" t="s">
        <v>3057</v>
      </c>
      <c r="B302" t="s">
        <v>3058</v>
      </c>
      <c r="C302" t="s">
        <v>3059</v>
      </c>
      <c r="D302" t="s">
        <v>3060</v>
      </c>
      <c r="F302" s="461">
        <v>39036</v>
      </c>
      <c r="H302" t="s">
        <v>476</v>
      </c>
      <c r="J302" t="s">
        <v>529</v>
      </c>
      <c r="K302" t="s">
        <v>3061</v>
      </c>
      <c r="L302" t="s">
        <v>3062</v>
      </c>
      <c r="M302" t="s">
        <v>3063</v>
      </c>
      <c r="O302" t="s">
        <v>3064</v>
      </c>
      <c r="P302" t="s">
        <v>3065</v>
      </c>
      <c r="Q302" s="461">
        <v>44889</v>
      </c>
      <c r="R302" s="461">
        <v>44889</v>
      </c>
      <c r="S302" s="461">
        <v>44888</v>
      </c>
      <c r="T302" t="s">
        <v>483</v>
      </c>
    </row>
    <row r="303" spans="1:20" x14ac:dyDescent="0.25">
      <c r="A303" t="s">
        <v>3066</v>
      </c>
      <c r="B303" t="s">
        <v>3067</v>
      </c>
      <c r="C303" t="s">
        <v>3068</v>
      </c>
      <c r="D303" t="s">
        <v>3069</v>
      </c>
      <c r="E303" t="s">
        <v>3070</v>
      </c>
      <c r="F303" s="461">
        <v>21618</v>
      </c>
      <c r="H303" t="s">
        <v>729</v>
      </c>
      <c r="I303" t="s">
        <v>675</v>
      </c>
      <c r="J303" t="s">
        <v>497</v>
      </c>
      <c r="K303" t="s">
        <v>3071</v>
      </c>
      <c r="L303" t="s">
        <v>1332</v>
      </c>
      <c r="M303" t="s">
        <v>3072</v>
      </c>
      <c r="O303" t="s">
        <v>3073</v>
      </c>
      <c r="P303" t="s">
        <v>3074</v>
      </c>
      <c r="Q303" s="461">
        <v>44963</v>
      </c>
      <c r="R303" s="461">
        <v>44963</v>
      </c>
      <c r="S303" s="461">
        <v>44959</v>
      </c>
      <c r="T303" t="s">
        <v>471</v>
      </c>
    </row>
    <row r="304" spans="1:20" x14ac:dyDescent="0.25">
      <c r="A304" t="s">
        <v>3075</v>
      </c>
      <c r="B304" t="s">
        <v>3076</v>
      </c>
      <c r="C304" t="s">
        <v>3077</v>
      </c>
      <c r="D304" t="s">
        <v>2474</v>
      </c>
      <c r="F304" s="461">
        <v>24884</v>
      </c>
      <c r="G304">
        <v>108036</v>
      </c>
      <c r="H304" t="s">
        <v>463</v>
      </c>
      <c r="I304" t="s">
        <v>846</v>
      </c>
      <c r="J304" t="s">
        <v>529</v>
      </c>
      <c r="K304" t="s">
        <v>3078</v>
      </c>
      <c r="L304" t="s">
        <v>3079</v>
      </c>
      <c r="M304" t="s">
        <v>3080</v>
      </c>
      <c r="O304" t="s">
        <v>3081</v>
      </c>
      <c r="P304" t="s">
        <v>3082</v>
      </c>
      <c r="Q304" s="461">
        <v>42044</v>
      </c>
      <c r="R304" s="461">
        <v>42044</v>
      </c>
      <c r="S304" s="461">
        <v>42043</v>
      </c>
      <c r="T304" t="s">
        <v>483</v>
      </c>
    </row>
    <row r="305" spans="1:20" x14ac:dyDescent="0.25">
      <c r="A305" t="s">
        <v>3083</v>
      </c>
      <c r="B305" t="s">
        <v>3084</v>
      </c>
      <c r="C305" t="s">
        <v>3085</v>
      </c>
      <c r="D305" t="s">
        <v>3086</v>
      </c>
      <c r="F305" s="461">
        <v>34711</v>
      </c>
      <c r="H305" t="s">
        <v>463</v>
      </c>
      <c r="I305" t="s">
        <v>685</v>
      </c>
      <c r="J305" t="s">
        <v>465</v>
      </c>
      <c r="K305" t="s">
        <v>3087</v>
      </c>
      <c r="L305" t="s">
        <v>3088</v>
      </c>
      <c r="M305" t="s">
        <v>3089</v>
      </c>
      <c r="O305" t="s">
        <v>3090</v>
      </c>
      <c r="P305" t="s">
        <v>3091</v>
      </c>
      <c r="Q305" s="461">
        <v>44612</v>
      </c>
      <c r="R305" s="461">
        <v>44612</v>
      </c>
      <c r="S305" s="461">
        <v>44603</v>
      </c>
      <c r="T305" t="s">
        <v>483</v>
      </c>
    </row>
    <row r="306" spans="1:20" x14ac:dyDescent="0.25">
      <c r="A306" t="s">
        <v>3092</v>
      </c>
      <c r="B306" t="s">
        <v>3093</v>
      </c>
      <c r="C306" t="s">
        <v>3094</v>
      </c>
      <c r="D306" t="s">
        <v>3095</v>
      </c>
      <c r="F306" s="461">
        <v>38918</v>
      </c>
      <c r="H306" t="s">
        <v>3096</v>
      </c>
      <c r="I306" t="s">
        <v>496</v>
      </c>
      <c r="J306" t="s">
        <v>541</v>
      </c>
      <c r="K306" t="s">
        <v>3097</v>
      </c>
      <c r="L306" t="s">
        <v>3098</v>
      </c>
      <c r="M306" t="s">
        <v>3099</v>
      </c>
      <c r="O306" t="s">
        <v>2777</v>
      </c>
      <c r="P306" t="s">
        <v>3100</v>
      </c>
      <c r="Q306" s="461">
        <v>44934</v>
      </c>
      <c r="R306" s="461">
        <v>44934</v>
      </c>
      <c r="S306" s="461">
        <v>44924</v>
      </c>
      <c r="T306" t="s">
        <v>471</v>
      </c>
    </row>
    <row r="307" spans="1:20" x14ac:dyDescent="0.25">
      <c r="A307" t="s">
        <v>3101</v>
      </c>
      <c r="B307" t="s">
        <v>3102</v>
      </c>
      <c r="C307" t="s">
        <v>3103</v>
      </c>
      <c r="D307" t="s">
        <v>1586</v>
      </c>
      <c r="F307" s="461">
        <v>34164</v>
      </c>
      <c r="G307">
        <v>1023589</v>
      </c>
      <c r="H307" t="s">
        <v>463</v>
      </c>
      <c r="I307" t="s">
        <v>551</v>
      </c>
      <c r="J307" t="s">
        <v>529</v>
      </c>
      <c r="K307" t="s">
        <v>3104</v>
      </c>
      <c r="L307" t="s">
        <v>3105</v>
      </c>
      <c r="M307" t="s">
        <v>3106</v>
      </c>
      <c r="O307" t="s">
        <v>3107</v>
      </c>
      <c r="P307" t="s">
        <v>3108</v>
      </c>
      <c r="Q307" s="461">
        <v>43199</v>
      </c>
      <c r="R307" s="461">
        <v>43199</v>
      </c>
      <c r="S307" s="461">
        <v>43198</v>
      </c>
      <c r="T307" t="s">
        <v>471</v>
      </c>
    </row>
    <row r="308" spans="1:20" x14ac:dyDescent="0.25">
      <c r="A308" t="s">
        <v>3109</v>
      </c>
      <c r="B308" t="s">
        <v>3110</v>
      </c>
      <c r="C308" t="s">
        <v>3111</v>
      </c>
      <c r="D308" t="s">
        <v>3112</v>
      </c>
      <c r="F308" s="461">
        <v>34445</v>
      </c>
      <c r="H308" t="s">
        <v>463</v>
      </c>
      <c r="I308" t="s">
        <v>737</v>
      </c>
      <c r="J308" t="s">
        <v>541</v>
      </c>
      <c r="K308" t="s">
        <v>3113</v>
      </c>
      <c r="L308" t="s">
        <v>3114</v>
      </c>
      <c r="M308" t="s">
        <v>3115</v>
      </c>
      <c r="O308" t="s">
        <v>3116</v>
      </c>
      <c r="P308" t="s">
        <v>3117</v>
      </c>
      <c r="Q308" s="461">
        <v>44819</v>
      </c>
      <c r="R308" s="461">
        <v>44819</v>
      </c>
      <c r="S308" s="461">
        <v>44818</v>
      </c>
      <c r="T308" t="s">
        <v>471</v>
      </c>
    </row>
    <row r="309" spans="1:20" x14ac:dyDescent="0.25">
      <c r="A309" t="s">
        <v>3118</v>
      </c>
      <c r="B309" t="s">
        <v>3119</v>
      </c>
      <c r="C309" t="s">
        <v>3120</v>
      </c>
      <c r="D309" t="s">
        <v>754</v>
      </c>
      <c r="E309" t="s">
        <v>3121</v>
      </c>
      <c r="F309" s="461">
        <v>32788</v>
      </c>
      <c r="G309">
        <v>1104698</v>
      </c>
      <c r="H309" t="s">
        <v>463</v>
      </c>
      <c r="I309" t="s">
        <v>836</v>
      </c>
      <c r="J309" t="s">
        <v>541</v>
      </c>
      <c r="K309" t="s">
        <v>3122</v>
      </c>
      <c r="L309" t="s">
        <v>3123</v>
      </c>
      <c r="M309" t="s">
        <v>3124</v>
      </c>
      <c r="O309" t="s">
        <v>3125</v>
      </c>
      <c r="P309" t="s">
        <v>3126</v>
      </c>
      <c r="Q309" s="461">
        <v>44963</v>
      </c>
      <c r="R309" s="461">
        <v>44963</v>
      </c>
      <c r="S309" s="461">
        <v>44960</v>
      </c>
      <c r="T309" t="s">
        <v>471</v>
      </c>
    </row>
    <row r="310" spans="1:20" x14ac:dyDescent="0.25">
      <c r="A310" t="s">
        <v>3127</v>
      </c>
      <c r="B310" t="s">
        <v>3128</v>
      </c>
      <c r="C310" t="s">
        <v>3120</v>
      </c>
      <c r="D310" t="s">
        <v>3129</v>
      </c>
      <c r="F310" s="461">
        <v>24877</v>
      </c>
      <c r="H310" t="s">
        <v>463</v>
      </c>
      <c r="I310" t="s">
        <v>836</v>
      </c>
      <c r="J310" t="s">
        <v>497</v>
      </c>
      <c r="K310" t="s">
        <v>3130</v>
      </c>
      <c r="L310" t="s">
        <v>3131</v>
      </c>
      <c r="M310" t="s">
        <v>3132</v>
      </c>
      <c r="O310" t="s">
        <v>3133</v>
      </c>
      <c r="P310" t="s">
        <v>3126</v>
      </c>
      <c r="Q310" s="461">
        <v>42814</v>
      </c>
      <c r="R310" s="461">
        <v>43034</v>
      </c>
      <c r="S310" s="461">
        <v>42814</v>
      </c>
      <c r="T310" t="s">
        <v>471</v>
      </c>
    </row>
    <row r="311" spans="1:20" x14ac:dyDescent="0.25">
      <c r="A311" t="s">
        <v>3134</v>
      </c>
      <c r="B311" t="s">
        <v>3135</v>
      </c>
      <c r="C311" t="s">
        <v>3136</v>
      </c>
      <c r="D311" t="s">
        <v>3137</v>
      </c>
      <c r="F311" s="461">
        <v>35290</v>
      </c>
      <c r="G311">
        <v>1093048</v>
      </c>
      <c r="H311" t="s">
        <v>463</v>
      </c>
      <c r="I311" t="s">
        <v>540</v>
      </c>
      <c r="J311" t="s">
        <v>541</v>
      </c>
      <c r="K311" t="s">
        <v>3138</v>
      </c>
      <c r="L311" t="s">
        <v>3139</v>
      </c>
      <c r="M311" t="s">
        <v>3140</v>
      </c>
      <c r="O311" t="s">
        <v>3141</v>
      </c>
      <c r="P311" t="s">
        <v>3142</v>
      </c>
      <c r="Q311" s="461">
        <v>43851</v>
      </c>
      <c r="R311" s="461">
        <v>43851</v>
      </c>
      <c r="S311" s="461">
        <v>43850</v>
      </c>
      <c r="T311" t="s">
        <v>483</v>
      </c>
    </row>
    <row r="312" spans="1:20" x14ac:dyDescent="0.25">
      <c r="A312" t="s">
        <v>3143</v>
      </c>
      <c r="B312" t="s">
        <v>3144</v>
      </c>
      <c r="C312" t="s">
        <v>3145</v>
      </c>
      <c r="D312" t="s">
        <v>2038</v>
      </c>
      <c r="F312" s="461">
        <v>36391</v>
      </c>
      <c r="G312">
        <v>702358</v>
      </c>
      <c r="H312" t="s">
        <v>463</v>
      </c>
      <c r="I312" t="s">
        <v>641</v>
      </c>
      <c r="J312" t="s">
        <v>465</v>
      </c>
      <c r="K312" t="s">
        <v>3146</v>
      </c>
      <c r="L312" t="s">
        <v>3147</v>
      </c>
      <c r="M312" t="s">
        <v>3148</v>
      </c>
      <c r="O312" t="s">
        <v>3149</v>
      </c>
      <c r="P312" t="s">
        <v>3150</v>
      </c>
      <c r="Q312" s="461">
        <v>43830</v>
      </c>
      <c r="R312" s="461">
        <v>43830</v>
      </c>
      <c r="S312" s="461">
        <v>43825</v>
      </c>
      <c r="T312" t="s">
        <v>483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2">
    <tabColor indexed="43"/>
    <pageSetUpPr fitToPage="1"/>
  </sheetPr>
  <dimension ref="A1:L37"/>
  <sheetViews>
    <sheetView zoomScaleNormal="100" workbookViewId="0">
      <selection activeCell="F22" sqref="F22"/>
    </sheetView>
  </sheetViews>
  <sheetFormatPr baseColWidth="10" defaultColWidth="9.109375" defaultRowHeight="13.2" x14ac:dyDescent="0.25"/>
  <cols>
    <col min="1" max="1" width="5.109375" style="3" customWidth="1"/>
    <col min="2" max="2" width="30.6640625" style="3" customWidth="1"/>
    <col min="3" max="3" width="5.6640625" style="3" customWidth="1"/>
    <col min="4" max="4" width="8" style="3" customWidth="1"/>
    <col min="5" max="5" width="15.33203125" style="3" customWidth="1"/>
    <col min="6" max="6" width="11.88671875" style="3" bestFit="1" customWidth="1"/>
    <col min="7" max="7" width="33" style="3" customWidth="1"/>
    <col min="8" max="16384" width="9.109375" style="3"/>
  </cols>
  <sheetData>
    <row r="1" spans="1:12" ht="24" customHeight="1" x14ac:dyDescent="0.25"/>
    <row r="2" spans="1:12" ht="24" customHeight="1" x14ac:dyDescent="0.4">
      <c r="B2" s="70" t="s">
        <v>285</v>
      </c>
      <c r="I2" s="69" t="s">
        <v>139</v>
      </c>
    </row>
    <row r="3" spans="1:12" ht="24.6" x14ac:dyDescent="0.4">
      <c r="B3" s="70" t="s">
        <v>286</v>
      </c>
      <c r="I3" s="69" t="s">
        <v>140</v>
      </c>
    </row>
    <row r="4" spans="1:12" ht="21" thickBot="1" x14ac:dyDescent="0.4">
      <c r="A4" s="221"/>
      <c r="B4" s="3" t="s">
        <v>259</v>
      </c>
      <c r="G4" s="220" t="str">
        <f>"Ver. "&amp;Anleitung!H2</f>
        <v>Ver. 2024 - 1.0</v>
      </c>
      <c r="I4" s="266" t="s">
        <v>301</v>
      </c>
    </row>
    <row r="5" spans="1:12" ht="21" thickBot="1" x14ac:dyDescent="0.3">
      <c r="B5" s="703" t="str">
        <f>IF('Camp-Abrechnung 1.0'!D8="","","Camp Nr. " &amp;'Camp-Abrechnung 1.0'!D8&amp; ", " &amp;'Camp-Abrechnung 1.0'!D6)</f>
        <v/>
      </c>
      <c r="C5" s="704"/>
      <c r="D5" s="704"/>
      <c r="E5" s="705"/>
      <c r="F5" s="72" t="s">
        <v>103</v>
      </c>
      <c r="G5" s="246" t="s">
        <v>101</v>
      </c>
    </row>
    <row r="6" spans="1:12" ht="21" thickBot="1" x14ac:dyDescent="0.3">
      <c r="B6" s="706"/>
      <c r="C6" s="707"/>
      <c r="D6" s="707"/>
      <c r="E6" s="708"/>
      <c r="F6" s="709"/>
      <c r="G6" s="710"/>
    </row>
    <row r="7" spans="1:12" ht="37.5" customHeight="1" thickBot="1" x14ac:dyDescent="0.3">
      <c r="B7" s="711" t="s">
        <v>104</v>
      </c>
      <c r="C7" s="712"/>
      <c r="D7" s="712"/>
      <c r="E7" s="713"/>
      <c r="F7" s="104">
        <f>+'Camp-Abrechnung 1.0'!P49</f>
        <v>200</v>
      </c>
      <c r="G7" s="73"/>
      <c r="I7" s="265" t="s">
        <v>296</v>
      </c>
      <c r="J7" s="192"/>
      <c r="K7" s="192"/>
      <c r="L7" s="192"/>
    </row>
    <row r="8" spans="1:12" ht="37.5" customHeight="1" thickBot="1" x14ac:dyDescent="0.3">
      <c r="B8" s="711" t="s">
        <v>105</v>
      </c>
      <c r="C8" s="712"/>
      <c r="D8" s="712"/>
      <c r="E8" s="713"/>
      <c r="F8" s="104" t="str">
        <f>IF('Camp-Abrechnung 1.0'!J6="S",'Camp-Abrechnung 1.0'!O49,"")</f>
        <v/>
      </c>
      <c r="G8" s="73"/>
      <c r="I8" s="693" t="s">
        <v>297</v>
      </c>
      <c r="J8" s="693"/>
      <c r="K8" s="693"/>
      <c r="L8" s="693"/>
    </row>
    <row r="9" spans="1:12" ht="32.25" customHeight="1" thickBot="1" x14ac:dyDescent="0.35">
      <c r="B9" s="244" t="s">
        <v>106</v>
      </c>
      <c r="C9" s="74" t="s">
        <v>192</v>
      </c>
      <c r="D9" s="74" t="s">
        <v>191</v>
      </c>
      <c r="E9" s="694"/>
      <c r="F9" s="695"/>
      <c r="G9" s="696"/>
      <c r="I9" s="693"/>
      <c r="J9" s="693"/>
      <c r="K9" s="693"/>
      <c r="L9" s="693"/>
    </row>
    <row r="10" spans="1:12" ht="27.75" customHeight="1" thickBot="1" x14ac:dyDescent="0.3">
      <c r="B10" s="106" t="str">
        <f>Datenstammblatt!C30</f>
        <v>Hauptleitung</v>
      </c>
      <c r="C10" s="105" t="str">
        <f>IF(Datenstammblatt!F30=""," ",Datenstammblatt!F30)</f>
        <v xml:space="preserve"> </v>
      </c>
      <c r="D10" s="105"/>
      <c r="E10" s="189" t="s">
        <v>274</v>
      </c>
      <c r="F10" s="104" t="str">
        <f>IF(D10="","",D10*140)</f>
        <v/>
      </c>
      <c r="G10" s="73"/>
      <c r="I10" s="265" t="s">
        <v>298</v>
      </c>
      <c r="J10" s="192"/>
      <c r="K10" s="192"/>
      <c r="L10" s="192"/>
    </row>
    <row r="11" spans="1:12" ht="27.75" customHeight="1" thickBot="1" x14ac:dyDescent="0.3">
      <c r="B11" s="106" t="str">
        <f>IF('Camp-Abrechnung 1.0'!J6="P","Kein Küchenchef",Datenstammblatt!C31)</f>
        <v>Küchenchef</v>
      </c>
      <c r="C11" s="105" t="str">
        <f>IF(Datenstammblatt!F31=""," ",Datenstammblatt!F31)</f>
        <v xml:space="preserve"> </v>
      </c>
      <c r="D11" s="105"/>
      <c r="E11" s="189" t="str">
        <f>IF(OR('Camp-Abrechnung 1.0'!J6="P",B11="kein Küchenchef"),"","Tage mal 
Fr. 100.-")</f>
        <v>Tage mal 
Fr. 100.-</v>
      </c>
      <c r="F11" s="104" t="str">
        <f>IF(D11="","",IF(OR('Camp-Abrechnung 1.0'!J6="P",B11="kein Küchenchef"),"",D11*100))</f>
        <v/>
      </c>
      <c r="G11" s="73"/>
      <c r="I11" s="265" t="s">
        <v>300</v>
      </c>
      <c r="J11" s="192"/>
      <c r="K11" s="192"/>
      <c r="L11" s="192"/>
    </row>
    <row r="12" spans="1:12" ht="27.75" customHeight="1" thickBot="1" x14ac:dyDescent="0.3">
      <c r="B12" s="106" t="str">
        <f>Datenstammblatt!C32</f>
        <v>MitleiterIn</v>
      </c>
      <c r="C12" s="105" t="str">
        <f>IF(Datenstammblatt!F32=""," ",Datenstammblatt!F32)</f>
        <v xml:space="preserve"> </v>
      </c>
      <c r="D12" s="105"/>
      <c r="E12" s="189" t="s">
        <v>3175</v>
      </c>
      <c r="F12" s="104" t="str">
        <f t="shared" ref="F12:F30" si="0">IF(D12="","",IF(C12="j",D12*125,D12*80))</f>
        <v/>
      </c>
      <c r="G12" s="73"/>
      <c r="I12" s="265" t="s">
        <v>299</v>
      </c>
    </row>
    <row r="13" spans="1:12" ht="27.75" customHeight="1" thickBot="1" x14ac:dyDescent="0.3">
      <c r="B13" s="106" t="str">
        <f>Datenstammblatt!C33</f>
        <v>MitleiterIn</v>
      </c>
      <c r="C13" s="105" t="str">
        <f>IF(Datenstammblatt!F33=""," ",Datenstammblatt!F33)</f>
        <v xml:space="preserve"> </v>
      </c>
      <c r="D13" s="105"/>
      <c r="E13" s="189" t="s">
        <v>3175</v>
      </c>
      <c r="F13" s="104" t="str">
        <f t="shared" si="0"/>
        <v/>
      </c>
      <c r="G13" s="73"/>
    </row>
    <row r="14" spans="1:12" ht="27.75" customHeight="1" thickBot="1" x14ac:dyDescent="0.3">
      <c r="B14" s="106" t="str">
        <f>Datenstammblatt!C34</f>
        <v>MitleiterIn</v>
      </c>
      <c r="C14" s="105" t="str">
        <f>IF(Datenstammblatt!F34=""," ",Datenstammblatt!F34)</f>
        <v xml:space="preserve"> </v>
      </c>
      <c r="D14" s="105"/>
      <c r="E14" s="189" t="s">
        <v>3175</v>
      </c>
      <c r="F14" s="104" t="str">
        <f t="shared" si="0"/>
        <v/>
      </c>
      <c r="G14" s="73"/>
    </row>
    <row r="15" spans="1:12" ht="27.75" customHeight="1" thickBot="1" x14ac:dyDescent="0.3">
      <c r="B15" s="106" t="str">
        <f>Datenstammblatt!C35</f>
        <v>MitleiterIn</v>
      </c>
      <c r="C15" s="105" t="str">
        <f>IF(Datenstammblatt!F35=""," ",Datenstammblatt!F35)</f>
        <v xml:space="preserve"> </v>
      </c>
      <c r="D15" s="105"/>
      <c r="E15" s="189" t="s">
        <v>3175</v>
      </c>
      <c r="F15" s="104" t="str">
        <f t="shared" si="0"/>
        <v/>
      </c>
      <c r="G15" s="73"/>
    </row>
    <row r="16" spans="1:12" ht="27.75" customHeight="1" thickBot="1" x14ac:dyDescent="0.3">
      <c r="B16" s="106" t="str">
        <f>Datenstammblatt!C36</f>
        <v>MitleiterIn</v>
      </c>
      <c r="C16" s="105" t="str">
        <f>IF(Datenstammblatt!F36=""," ",Datenstammblatt!F36)</f>
        <v xml:space="preserve"> </v>
      </c>
      <c r="D16" s="105"/>
      <c r="E16" s="189" t="s">
        <v>3175</v>
      </c>
      <c r="F16" s="104" t="str">
        <f t="shared" si="0"/>
        <v/>
      </c>
      <c r="G16" s="73"/>
    </row>
    <row r="17" spans="2:7" ht="27.75" customHeight="1" thickBot="1" x14ac:dyDescent="0.3">
      <c r="B17" s="106" t="str">
        <f>Datenstammblatt!C37</f>
        <v>MitleiterIn</v>
      </c>
      <c r="C17" s="105" t="str">
        <f>IF(Datenstammblatt!F37=""," ",Datenstammblatt!F37)</f>
        <v xml:space="preserve"> </v>
      </c>
      <c r="D17" s="105"/>
      <c r="E17" s="189" t="s">
        <v>3175</v>
      </c>
      <c r="F17" s="104" t="str">
        <f t="shared" si="0"/>
        <v/>
      </c>
      <c r="G17" s="73"/>
    </row>
    <row r="18" spans="2:7" ht="27.75" customHeight="1" thickBot="1" x14ac:dyDescent="0.3">
      <c r="B18" s="106" t="str">
        <f>Datenstammblatt!C38</f>
        <v>MitleiterIn</v>
      </c>
      <c r="C18" s="105" t="str">
        <f>IF(Datenstammblatt!F38=""," ",Datenstammblatt!F38)</f>
        <v xml:space="preserve"> </v>
      </c>
      <c r="D18" s="105"/>
      <c r="E18" s="189" t="s">
        <v>3175</v>
      </c>
      <c r="F18" s="104" t="str">
        <f t="shared" si="0"/>
        <v/>
      </c>
      <c r="G18" s="73"/>
    </row>
    <row r="19" spans="2:7" ht="27.75" customHeight="1" thickBot="1" x14ac:dyDescent="0.3">
      <c r="B19" s="106" t="str">
        <f>Datenstammblatt!C39</f>
        <v>MitleiterIn</v>
      </c>
      <c r="C19" s="105" t="str">
        <f>IF(Datenstammblatt!F39=""," ",Datenstammblatt!F39)</f>
        <v xml:space="preserve"> </v>
      </c>
      <c r="D19" s="105"/>
      <c r="E19" s="189" t="s">
        <v>3175</v>
      </c>
      <c r="F19" s="104" t="str">
        <f t="shared" si="0"/>
        <v/>
      </c>
      <c r="G19" s="73"/>
    </row>
    <row r="20" spans="2:7" ht="27.75" customHeight="1" thickBot="1" x14ac:dyDescent="0.3">
      <c r="B20" s="106" t="str">
        <f>Datenstammblatt!C40</f>
        <v>MitleiterIn</v>
      </c>
      <c r="C20" s="105" t="str">
        <f>IF(Datenstammblatt!F40=""," ",Datenstammblatt!F40)</f>
        <v xml:space="preserve"> </v>
      </c>
      <c r="D20" s="105"/>
      <c r="E20" s="189" t="s">
        <v>3175</v>
      </c>
      <c r="F20" s="104" t="str">
        <f t="shared" si="0"/>
        <v/>
      </c>
      <c r="G20" s="73"/>
    </row>
    <row r="21" spans="2:7" ht="27.75" customHeight="1" thickBot="1" x14ac:dyDescent="0.3">
      <c r="B21" s="106" t="str">
        <f>Datenstammblatt!C41</f>
        <v>MitleiterIn</v>
      </c>
      <c r="C21" s="105" t="str">
        <f>IF(Datenstammblatt!F41=""," ",Datenstammblatt!F41)</f>
        <v xml:space="preserve"> </v>
      </c>
      <c r="D21" s="105"/>
      <c r="E21" s="189" t="s">
        <v>3175</v>
      </c>
      <c r="F21" s="104" t="str">
        <f t="shared" si="0"/>
        <v/>
      </c>
      <c r="G21" s="73"/>
    </row>
    <row r="22" spans="2:7" ht="27.75" customHeight="1" thickBot="1" x14ac:dyDescent="0.3">
      <c r="B22" s="106" t="str">
        <f>Datenstammblatt!C42</f>
        <v>MitleiterIn</v>
      </c>
      <c r="C22" s="105" t="str">
        <f>IF(Datenstammblatt!F42=""," ",Datenstammblatt!F42)</f>
        <v xml:space="preserve"> </v>
      </c>
      <c r="D22" s="105"/>
      <c r="E22" s="189" t="s">
        <v>3175</v>
      </c>
      <c r="F22" s="104" t="str">
        <f t="shared" si="0"/>
        <v/>
      </c>
      <c r="G22" s="73"/>
    </row>
    <row r="23" spans="2:7" ht="27.75" customHeight="1" thickBot="1" x14ac:dyDescent="0.3">
      <c r="B23" s="106" t="str">
        <f>Datenstammblatt!C43</f>
        <v>MitleiterIn</v>
      </c>
      <c r="C23" s="105" t="str">
        <f>IF(Datenstammblatt!F43=""," ",Datenstammblatt!F43)</f>
        <v xml:space="preserve"> </v>
      </c>
      <c r="D23" s="105"/>
      <c r="E23" s="189" t="s">
        <v>3175</v>
      </c>
      <c r="F23" s="104" t="str">
        <f t="shared" si="0"/>
        <v/>
      </c>
      <c r="G23" s="73"/>
    </row>
    <row r="24" spans="2:7" ht="27.75" customHeight="1" thickBot="1" x14ac:dyDescent="0.3">
      <c r="B24" s="106" t="str">
        <f>Datenstammblatt!C44</f>
        <v>MitleiterIn</v>
      </c>
      <c r="C24" s="105" t="str">
        <f>IF(Datenstammblatt!F44=""," ",Datenstammblatt!F44)</f>
        <v xml:space="preserve"> </v>
      </c>
      <c r="D24" s="105"/>
      <c r="E24" s="189" t="s">
        <v>3175</v>
      </c>
      <c r="F24" s="104" t="str">
        <f t="shared" si="0"/>
        <v/>
      </c>
      <c r="G24" s="73"/>
    </row>
    <row r="25" spans="2:7" ht="27.75" customHeight="1" thickBot="1" x14ac:dyDescent="0.3">
      <c r="B25" s="106" t="str">
        <f>Datenstammblatt!C45</f>
        <v>MitleiterIn</v>
      </c>
      <c r="C25" s="105" t="str">
        <f>IF(Datenstammblatt!F45=""," ",Datenstammblatt!F45)</f>
        <v xml:space="preserve"> </v>
      </c>
      <c r="D25" s="105"/>
      <c r="E25" s="189" t="s">
        <v>3175</v>
      </c>
      <c r="F25" s="104" t="str">
        <f t="shared" si="0"/>
        <v/>
      </c>
      <c r="G25" s="73"/>
    </row>
    <row r="26" spans="2:7" ht="27.75" customHeight="1" thickBot="1" x14ac:dyDescent="0.3">
      <c r="B26" s="106" t="str">
        <f>Datenstammblatt!C46</f>
        <v>MitleiterIn</v>
      </c>
      <c r="C26" s="105" t="str">
        <f>IF(Datenstammblatt!F46=""," ",Datenstammblatt!F46)</f>
        <v xml:space="preserve"> </v>
      </c>
      <c r="D26" s="105"/>
      <c r="E26" s="189" t="s">
        <v>3175</v>
      </c>
      <c r="F26" s="104" t="str">
        <f t="shared" si="0"/>
        <v/>
      </c>
      <c r="G26" s="73"/>
    </row>
    <row r="27" spans="2:7" ht="27.75" customHeight="1" thickBot="1" x14ac:dyDescent="0.3">
      <c r="B27" s="106" t="str">
        <f>Datenstammblatt!C47</f>
        <v>MitleiterIn</v>
      </c>
      <c r="C27" s="105" t="str">
        <f>IF(Datenstammblatt!F47=""," ",Datenstammblatt!F47)</f>
        <v xml:space="preserve"> </v>
      </c>
      <c r="D27" s="105"/>
      <c r="E27" s="189" t="s">
        <v>3175</v>
      </c>
      <c r="F27" s="104" t="str">
        <f t="shared" si="0"/>
        <v/>
      </c>
      <c r="G27" s="73"/>
    </row>
    <row r="28" spans="2:7" ht="27.75" customHeight="1" thickBot="1" x14ac:dyDescent="0.3">
      <c r="B28" s="106" t="str">
        <f>Datenstammblatt!C48</f>
        <v>MitleiterIn</v>
      </c>
      <c r="C28" s="105" t="str">
        <f>IF(Datenstammblatt!F48=""," ",Datenstammblatt!F48)</f>
        <v xml:space="preserve"> </v>
      </c>
      <c r="D28" s="105"/>
      <c r="E28" s="189" t="s">
        <v>3175</v>
      </c>
      <c r="F28" s="104" t="str">
        <f t="shared" si="0"/>
        <v/>
      </c>
      <c r="G28" s="73"/>
    </row>
    <row r="29" spans="2:7" ht="27.75" customHeight="1" thickBot="1" x14ac:dyDescent="0.3">
      <c r="B29" s="106" t="str">
        <f>Datenstammblatt!C49</f>
        <v>MitleiterIn</v>
      </c>
      <c r="C29" s="105" t="str">
        <f>IF(Datenstammblatt!F49=""," ",Datenstammblatt!F49)</f>
        <v xml:space="preserve"> </v>
      </c>
      <c r="D29" s="105"/>
      <c r="E29" s="189" t="s">
        <v>3175</v>
      </c>
      <c r="F29" s="104" t="str">
        <f t="shared" si="0"/>
        <v/>
      </c>
      <c r="G29" s="73"/>
    </row>
    <row r="30" spans="2:7" ht="27.75" customHeight="1" thickBot="1" x14ac:dyDescent="0.3">
      <c r="B30" s="106" t="str">
        <f>Datenstammblatt!C50</f>
        <v>MitleiterIn</v>
      </c>
      <c r="C30" s="105" t="str">
        <f>IF(Datenstammblatt!F50=""," ",Datenstammblatt!F50)</f>
        <v xml:space="preserve"> </v>
      </c>
      <c r="D30" s="105"/>
      <c r="E30" s="189" t="s">
        <v>3175</v>
      </c>
      <c r="F30" s="104" t="str">
        <f t="shared" si="0"/>
        <v/>
      </c>
      <c r="G30" s="73"/>
    </row>
    <row r="31" spans="2:7" ht="18" thickBot="1" x14ac:dyDescent="0.35">
      <c r="B31" s="697"/>
      <c r="C31" s="698"/>
      <c r="D31" s="698"/>
      <c r="E31" s="698"/>
      <c r="F31" s="698"/>
      <c r="G31" s="699"/>
    </row>
    <row r="32" spans="2:7" s="75" customFormat="1" ht="37.5" customHeight="1" thickBot="1" x14ac:dyDescent="0.35">
      <c r="B32" s="700" t="s">
        <v>110</v>
      </c>
      <c r="C32" s="701"/>
      <c r="D32" s="701"/>
      <c r="E32" s="702"/>
      <c r="F32" s="104">
        <f>IF(SUM(F10:F23)=0,0,SUM(F10:F23,F7:F8))</f>
        <v>0</v>
      </c>
      <c r="G32" s="245"/>
    </row>
    <row r="33" spans="2:7" ht="12.75" customHeight="1" x14ac:dyDescent="0.25">
      <c r="B33" s="79" t="s">
        <v>258</v>
      </c>
      <c r="C33" s="1"/>
      <c r="D33" s="1"/>
      <c r="E33" s="1"/>
      <c r="F33" s="1"/>
      <c r="G33" s="249" t="s">
        <v>287</v>
      </c>
    </row>
    <row r="34" spans="2:7" ht="12.75" customHeight="1" x14ac:dyDescent="0.3">
      <c r="B34" s="79" t="s">
        <v>147</v>
      </c>
      <c r="C34" s="1"/>
      <c r="D34" s="1"/>
      <c r="E34" s="1"/>
      <c r="F34" s="1"/>
      <c r="G34" s="1"/>
    </row>
    <row r="35" spans="2:7" ht="9" customHeight="1" thickBot="1" x14ac:dyDescent="0.3">
      <c r="B35" s="79"/>
      <c r="C35" s="1"/>
      <c r="D35" s="1"/>
      <c r="E35" s="1"/>
      <c r="F35" s="1"/>
      <c r="G35" s="1"/>
    </row>
    <row r="36" spans="2:7" s="85" customFormat="1" ht="17.399999999999999" x14ac:dyDescent="0.3">
      <c r="B36" s="250" t="s">
        <v>288</v>
      </c>
      <c r="C36" s="251"/>
      <c r="D36" s="251"/>
      <c r="E36" s="251"/>
      <c r="F36" s="251"/>
      <c r="G36" s="252"/>
    </row>
    <row r="37" spans="2:7" s="85" customFormat="1" ht="18" thickBot="1" x14ac:dyDescent="0.35">
      <c r="B37" s="253" t="s">
        <v>289</v>
      </c>
      <c r="C37" s="254"/>
      <c r="D37" s="254"/>
      <c r="E37" s="254"/>
      <c r="F37" s="254"/>
      <c r="G37" s="255"/>
    </row>
  </sheetData>
  <sheetProtection password="C3D7" sheet="1"/>
  <mergeCells count="8">
    <mergeCell ref="I8:L9"/>
    <mergeCell ref="E9:G9"/>
    <mergeCell ref="B31:G31"/>
    <mergeCell ref="B32:E32"/>
    <mergeCell ref="B5:E6"/>
    <mergeCell ref="F6:G6"/>
    <mergeCell ref="B7:E7"/>
    <mergeCell ref="B8:E8"/>
  </mergeCells>
  <conditionalFormatting sqref="B10">
    <cfRule type="cellIs" dxfId="25" priority="4" operator="equal">
      <formula>"Hauptleitung"</formula>
    </cfRule>
  </conditionalFormatting>
  <conditionalFormatting sqref="B11">
    <cfRule type="cellIs" dxfId="24" priority="3" operator="equal">
      <formula>"Küchenchef"</formula>
    </cfRule>
  </conditionalFormatting>
  <conditionalFormatting sqref="B12:B30">
    <cfRule type="cellIs" dxfId="23" priority="5" operator="equal">
      <formula>"MitleiterIn"</formula>
    </cfRule>
  </conditionalFormatting>
  <conditionalFormatting sqref="B11:D11">
    <cfRule type="expression" dxfId="22" priority="1">
      <formula>"WENN('Camp-Abrechnung'!I6=""P"";1;0)"</formula>
    </cfRule>
    <cfRule type="expression" dxfId="21" priority="2">
      <formula>IF($B$11="Kein Küchenchef",1,0)</formula>
    </cfRule>
  </conditionalFormatting>
  <dataValidations count="1">
    <dataValidation type="list" showInputMessage="1" showErrorMessage="1" sqref="C10:C30" xr:uid="{00000000-0002-0000-0900-000000000000}">
      <formula1>$I$2:$I$4</formula1>
    </dataValidation>
  </dataValidations>
  <hyperlinks>
    <hyperlink ref="I4" r:id="rId1" xr:uid="{00000000-0004-0000-0900-000000000000}"/>
  </hyperlinks>
  <pageMargins left="0.78740157480314965" right="0.19685039370078741" top="0.34" bottom="0.31496062992125984" header="0.23" footer="0.15748031496062992"/>
  <pageSetup paperSize="9" scale="85" orientation="portrait" r:id="rId2"/>
  <headerFooter alignWithMargins="0">
    <oddFooter>&amp;L&amp;8 2013 V. 1.0 (01.09.12)&amp;R&amp;8gedruckt: &amp;D; &amp;T</oddFooter>
  </headerFooter>
  <drawing r:id="rId3"/>
  <legacyDrawingHF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tabColor rgb="FFFFFF99"/>
    <pageSetUpPr fitToPage="1"/>
  </sheetPr>
  <dimension ref="B2:K40"/>
  <sheetViews>
    <sheetView zoomScaleNormal="100" workbookViewId="0">
      <selection activeCell="C12" sqref="C12:H12"/>
    </sheetView>
  </sheetViews>
  <sheetFormatPr baseColWidth="10" defaultColWidth="11.44140625" defaultRowHeight="13.2" x14ac:dyDescent="0.25"/>
  <cols>
    <col min="1" max="1" width="3.6640625" customWidth="1"/>
    <col min="2" max="2" width="7.44140625" customWidth="1"/>
    <col min="3" max="3" width="11.44140625" customWidth="1"/>
    <col min="4" max="4" width="13" customWidth="1"/>
    <col min="5" max="5" width="5.88671875" customWidth="1"/>
    <col min="6" max="6" width="25.5546875" customWidth="1"/>
    <col min="7" max="7" width="10.6640625" customWidth="1"/>
    <col min="8" max="8" width="1.33203125" customWidth="1"/>
    <col min="9" max="9" width="11.44140625" customWidth="1"/>
    <col min="10" max="10" width="4.5546875" customWidth="1"/>
  </cols>
  <sheetData>
    <row r="2" spans="2:10" ht="17.399999999999999" x14ac:dyDescent="0.3">
      <c r="B2" s="15" t="s">
        <v>78</v>
      </c>
      <c r="C2" s="11"/>
      <c r="D2" s="6"/>
      <c r="E2" s="6"/>
      <c r="F2" s="6" t="str">
        <f>IF('Camp-Abrechnung 1.0'!D4="","",'Camp-Abrechnung 1.0'!D4)</f>
        <v/>
      </c>
      <c r="G2" s="6" t="str">
        <f>IF('Camp-Abrechnung 1.0'!D8="","",'Camp-Abrechnung 1.0'!D8)</f>
        <v/>
      </c>
      <c r="H2" s="6"/>
      <c r="I2" s="56">
        <f>'Camp-Abrechnung 1.0'!L2</f>
        <v>2024</v>
      </c>
    </row>
    <row r="3" spans="2:10" x14ac:dyDescent="0.25">
      <c r="I3" s="220" t="str">
        <f>"Ver. "&amp;Anleitung!H2</f>
        <v>Ver. 2024 - 1.0</v>
      </c>
    </row>
    <row r="4" spans="2:10" ht="13.8" x14ac:dyDescent="0.25">
      <c r="B4" s="16" t="s">
        <v>17</v>
      </c>
      <c r="C4" s="3"/>
      <c r="D4" s="3"/>
      <c r="E4" s="3"/>
      <c r="F4" s="3"/>
      <c r="G4" s="3"/>
      <c r="H4" s="3"/>
      <c r="I4" s="3"/>
      <c r="J4" s="12"/>
    </row>
    <row r="5" spans="2:10" ht="7.5" customHeight="1" x14ac:dyDescent="0.25">
      <c r="B5" s="3"/>
      <c r="C5" s="3"/>
      <c r="D5" s="3"/>
      <c r="E5" s="3"/>
      <c r="F5" s="3"/>
      <c r="G5" s="3"/>
      <c r="H5" s="3"/>
      <c r="I5" s="3"/>
      <c r="J5" s="1"/>
    </row>
    <row r="6" spans="2:10" ht="13.8" x14ac:dyDescent="0.25">
      <c r="B6" s="3" t="s">
        <v>6</v>
      </c>
      <c r="C6" s="3"/>
      <c r="D6" s="3"/>
      <c r="E6" s="7">
        <f>IF(AND('Camp-Abrechnung 1.0'!J8="Ja",'Camp-Abrechnung 1.0'!J9&gt;1),'Camp-Abrechnung 1.0'!J12,0)</f>
        <v>0</v>
      </c>
      <c r="F6" s="3"/>
      <c r="G6" s="3"/>
      <c r="H6" s="3"/>
      <c r="I6" s="3"/>
      <c r="J6" s="12"/>
    </row>
    <row r="7" spans="2:10" ht="3.75" customHeight="1" x14ac:dyDescent="0.25">
      <c r="B7" s="3"/>
      <c r="C7" s="3"/>
      <c r="D7" s="3"/>
      <c r="E7" s="3"/>
      <c r="F7" s="3"/>
      <c r="G7" s="3"/>
      <c r="H7" s="3"/>
      <c r="I7" s="3"/>
      <c r="J7" s="12"/>
    </row>
    <row r="8" spans="2:10" ht="13.8" x14ac:dyDescent="0.25">
      <c r="B8" s="192" t="s">
        <v>318</v>
      </c>
      <c r="C8" s="3"/>
      <c r="D8" s="3"/>
      <c r="E8" s="3"/>
      <c r="F8" s="3"/>
      <c r="G8" s="21">
        <f>E6*50</f>
        <v>0</v>
      </c>
      <c r="H8" s="3"/>
      <c r="I8" s="3"/>
      <c r="J8" s="12"/>
    </row>
    <row r="9" spans="2:10" ht="13.8" x14ac:dyDescent="0.25">
      <c r="B9" s="3"/>
      <c r="C9" s="3"/>
      <c r="D9" s="3"/>
      <c r="E9" s="3"/>
      <c r="F9" s="3"/>
      <c r="G9" s="3"/>
      <c r="H9" s="3"/>
      <c r="I9" s="3"/>
      <c r="J9" s="12"/>
    </row>
    <row r="10" spans="2:10" ht="13.8" x14ac:dyDescent="0.25">
      <c r="B10" s="3" t="s">
        <v>82</v>
      </c>
      <c r="C10" s="3"/>
      <c r="D10" s="3"/>
      <c r="E10" s="3"/>
      <c r="F10" s="3"/>
      <c r="G10" s="3"/>
      <c r="H10" s="3"/>
      <c r="I10" s="3"/>
      <c r="J10" s="12"/>
    </row>
    <row r="11" spans="2:10" ht="6.75" customHeight="1" x14ac:dyDescent="0.25">
      <c r="B11" s="12"/>
      <c r="C11" s="12"/>
      <c r="D11" s="12"/>
      <c r="E11" s="12"/>
      <c r="F11" s="12"/>
      <c r="G11" s="12"/>
      <c r="H11" s="12"/>
      <c r="I11" s="12"/>
      <c r="J11" s="12"/>
    </row>
    <row r="12" spans="2:10" ht="15.75" customHeight="1" x14ac:dyDescent="0.25">
      <c r="B12" s="13" t="s">
        <v>7</v>
      </c>
      <c r="C12" s="668"/>
      <c r="D12" s="669"/>
      <c r="E12" s="669"/>
      <c r="F12" s="669"/>
      <c r="G12" s="669"/>
      <c r="H12" s="670"/>
      <c r="I12" s="176"/>
      <c r="J12" s="12"/>
    </row>
    <row r="13" spans="2:10" ht="15.75" customHeight="1" x14ac:dyDescent="0.25">
      <c r="B13" s="13" t="s">
        <v>8</v>
      </c>
      <c r="C13" s="668"/>
      <c r="D13" s="669"/>
      <c r="E13" s="669"/>
      <c r="F13" s="669"/>
      <c r="G13" s="669"/>
      <c r="H13" s="670"/>
      <c r="I13" s="176"/>
      <c r="J13" s="12"/>
    </row>
    <row r="14" spans="2:10" ht="15.75" customHeight="1" x14ac:dyDescent="0.25">
      <c r="B14" s="13" t="s">
        <v>9</v>
      </c>
      <c r="C14" s="668"/>
      <c r="D14" s="669"/>
      <c r="E14" s="669"/>
      <c r="F14" s="669"/>
      <c r="G14" s="669"/>
      <c r="H14" s="670"/>
      <c r="I14" s="176"/>
      <c r="J14" s="12"/>
    </row>
    <row r="15" spans="2:10" ht="15.75" customHeight="1" x14ac:dyDescent="0.25">
      <c r="B15" s="13" t="s">
        <v>10</v>
      </c>
      <c r="C15" s="668"/>
      <c r="D15" s="669"/>
      <c r="E15" s="669"/>
      <c r="F15" s="669"/>
      <c r="G15" s="669"/>
      <c r="H15" s="670"/>
      <c r="I15" s="176"/>
      <c r="J15" s="12"/>
    </row>
    <row r="16" spans="2:10" ht="15.75" customHeight="1" x14ac:dyDescent="0.25">
      <c r="B16" s="13" t="s">
        <v>11</v>
      </c>
      <c r="C16" s="668"/>
      <c r="D16" s="669"/>
      <c r="E16" s="669"/>
      <c r="F16" s="669"/>
      <c r="G16" s="669"/>
      <c r="H16" s="670"/>
      <c r="I16" s="176"/>
      <c r="J16" s="12"/>
    </row>
    <row r="17" spans="2:10" ht="15.75" customHeight="1" x14ac:dyDescent="0.25">
      <c r="B17" s="13" t="s">
        <v>12</v>
      </c>
      <c r="C17" s="668"/>
      <c r="D17" s="669"/>
      <c r="E17" s="669"/>
      <c r="F17" s="669"/>
      <c r="G17" s="669"/>
      <c r="H17" s="670"/>
      <c r="I17" s="176"/>
      <c r="J17" s="12"/>
    </row>
    <row r="18" spans="2:10" ht="15.75" customHeight="1" x14ac:dyDescent="0.25">
      <c r="B18" s="13" t="s">
        <v>13</v>
      </c>
      <c r="C18" s="668"/>
      <c r="D18" s="669"/>
      <c r="E18" s="669"/>
      <c r="F18" s="669"/>
      <c r="G18" s="669"/>
      <c r="H18" s="670"/>
      <c r="I18" s="176"/>
      <c r="J18" s="12"/>
    </row>
    <row r="19" spans="2:10" ht="15.75" customHeight="1" x14ac:dyDescent="0.25">
      <c r="B19" s="13" t="s">
        <v>14</v>
      </c>
      <c r="C19" s="668"/>
      <c r="D19" s="669"/>
      <c r="E19" s="669"/>
      <c r="F19" s="669"/>
      <c r="G19" s="669"/>
      <c r="H19" s="670"/>
      <c r="I19" s="176"/>
      <c r="J19" s="12"/>
    </row>
    <row r="20" spans="2:10" ht="15.75" customHeight="1" x14ac:dyDescent="0.25">
      <c r="B20" s="13" t="s">
        <v>15</v>
      </c>
      <c r="C20" s="668"/>
      <c r="D20" s="669"/>
      <c r="E20" s="669"/>
      <c r="F20" s="669"/>
      <c r="G20" s="669"/>
      <c r="H20" s="670"/>
      <c r="I20" s="176"/>
      <c r="J20" s="12"/>
    </row>
    <row r="21" spans="2:10" ht="15.75" customHeight="1" x14ac:dyDescent="0.25">
      <c r="B21" s="13" t="s">
        <v>16</v>
      </c>
      <c r="C21" s="668"/>
      <c r="D21" s="669"/>
      <c r="E21" s="669"/>
      <c r="F21" s="669"/>
      <c r="G21" s="669"/>
      <c r="H21" s="670"/>
      <c r="I21" s="176"/>
      <c r="J21" s="12"/>
    </row>
    <row r="22" spans="2:10" ht="15.75" customHeight="1" x14ac:dyDescent="0.25">
      <c r="B22" s="13" t="s">
        <v>42</v>
      </c>
      <c r="C22" s="668"/>
      <c r="D22" s="669"/>
      <c r="E22" s="669"/>
      <c r="F22" s="669"/>
      <c r="G22" s="669"/>
      <c r="H22" s="670"/>
      <c r="I22" s="176"/>
      <c r="J22" s="12"/>
    </row>
    <row r="23" spans="2:10" ht="15.75" customHeight="1" x14ac:dyDescent="0.25">
      <c r="B23" s="13" t="s">
        <v>43</v>
      </c>
      <c r="C23" s="668"/>
      <c r="D23" s="669"/>
      <c r="E23" s="669"/>
      <c r="F23" s="669"/>
      <c r="G23" s="669"/>
      <c r="H23" s="670"/>
      <c r="I23" s="176"/>
      <c r="J23" s="12"/>
    </row>
    <row r="24" spans="2:10" ht="15.75" customHeight="1" x14ac:dyDescent="0.25">
      <c r="B24" s="13" t="s">
        <v>44</v>
      </c>
      <c r="C24" s="668"/>
      <c r="D24" s="669"/>
      <c r="E24" s="669"/>
      <c r="F24" s="669"/>
      <c r="G24" s="669"/>
      <c r="H24" s="670"/>
      <c r="I24" s="176"/>
      <c r="J24" s="12"/>
    </row>
    <row r="25" spans="2:10" ht="15.75" customHeight="1" x14ac:dyDescent="0.25">
      <c r="B25" s="13" t="s">
        <v>80</v>
      </c>
      <c r="C25" s="37"/>
      <c r="D25" s="42"/>
      <c r="E25" s="42"/>
      <c r="F25" s="42"/>
      <c r="G25" s="42"/>
      <c r="H25" s="38"/>
      <c r="I25" s="176"/>
      <c r="J25" s="12"/>
    </row>
    <row r="26" spans="2:10" ht="15.75" customHeight="1" x14ac:dyDescent="0.25">
      <c r="B26" s="13" t="s">
        <v>84</v>
      </c>
      <c r="C26" s="37"/>
      <c r="D26" s="42"/>
      <c r="E26" s="42"/>
      <c r="F26" s="42"/>
      <c r="G26" s="42"/>
      <c r="H26" s="38"/>
      <c r="I26" s="176"/>
      <c r="J26" s="12"/>
    </row>
    <row r="27" spans="2:10" ht="15.75" customHeight="1" x14ac:dyDescent="0.25">
      <c r="B27" s="13" t="s">
        <v>85</v>
      </c>
      <c r="C27" s="37"/>
      <c r="D27" s="42"/>
      <c r="E27" s="42"/>
      <c r="F27" s="42"/>
      <c r="G27" s="42"/>
      <c r="H27" s="38"/>
      <c r="I27" s="176"/>
      <c r="J27" s="12"/>
    </row>
    <row r="28" spans="2:10" ht="15.75" customHeight="1" x14ac:dyDescent="0.25">
      <c r="B28" s="13" t="s">
        <v>86</v>
      </c>
      <c r="C28" s="37"/>
      <c r="D28" s="42"/>
      <c r="E28" s="42"/>
      <c r="F28" s="42"/>
      <c r="G28" s="42"/>
      <c r="H28" s="38"/>
      <c r="I28" s="176"/>
      <c r="J28" s="12"/>
    </row>
    <row r="29" spans="2:10" ht="15.75" customHeight="1" x14ac:dyDescent="0.25">
      <c r="B29" s="13" t="s">
        <v>87</v>
      </c>
      <c r="C29" s="37"/>
      <c r="D29" s="42"/>
      <c r="E29" s="42"/>
      <c r="F29" s="42"/>
      <c r="G29" s="42"/>
      <c r="H29" s="38"/>
      <c r="I29" s="176"/>
      <c r="J29" s="12"/>
    </row>
    <row r="30" spans="2:10" ht="15.75" customHeight="1" x14ac:dyDescent="0.25">
      <c r="B30" s="13" t="s">
        <v>88</v>
      </c>
      <c r="C30" s="37"/>
      <c r="D30" s="42"/>
      <c r="E30" s="42"/>
      <c r="F30" s="42"/>
      <c r="G30" s="42"/>
      <c r="H30" s="38"/>
      <c r="I30" s="176"/>
      <c r="J30" s="12"/>
    </row>
    <row r="31" spans="2:10" ht="15.75" customHeight="1" x14ac:dyDescent="0.25">
      <c r="B31" s="13" t="s">
        <v>89</v>
      </c>
      <c r="C31" s="37"/>
      <c r="D31" s="42"/>
      <c r="E31" s="42"/>
      <c r="F31" s="42"/>
      <c r="G31" s="42"/>
      <c r="H31" s="38"/>
      <c r="I31" s="176"/>
      <c r="J31" s="12"/>
    </row>
    <row r="32" spans="2:10" ht="15.75" customHeight="1" x14ac:dyDescent="0.25">
      <c r="B32" s="13" t="s">
        <v>90</v>
      </c>
      <c r="C32" s="668"/>
      <c r="D32" s="669"/>
      <c r="E32" s="669"/>
      <c r="F32" s="669"/>
      <c r="G32" s="669"/>
      <c r="H32" s="670"/>
      <c r="I32" s="176"/>
      <c r="J32" s="12"/>
    </row>
    <row r="33" spans="2:11" ht="15.75" customHeight="1" x14ac:dyDescent="0.25">
      <c r="C33" s="571" t="s">
        <v>81</v>
      </c>
      <c r="D33" s="571"/>
      <c r="E33" s="571"/>
      <c r="F33" s="571"/>
      <c r="G33" s="571"/>
      <c r="H33" s="12"/>
      <c r="I33" s="21">
        <f>IF(K33&lt;G8,K33,G8)</f>
        <v>0</v>
      </c>
      <c r="J33" s="12"/>
      <c r="K33" s="22">
        <f>SUM(I12:I32)</f>
        <v>0</v>
      </c>
    </row>
    <row r="34" spans="2:11" ht="13.8" x14ac:dyDescent="0.25">
      <c r="B34" s="12"/>
      <c r="C34" s="12"/>
      <c r="D34" s="12"/>
      <c r="E34" s="12"/>
      <c r="F34" s="12"/>
      <c r="G34" s="12"/>
      <c r="H34" s="12"/>
      <c r="I34" s="12"/>
      <c r="J34" s="12"/>
    </row>
    <row r="35" spans="2:11" ht="15.75" customHeight="1" x14ac:dyDescent="0.25">
      <c r="B35" s="12"/>
      <c r="C35" s="571" t="s">
        <v>18</v>
      </c>
      <c r="D35" s="571"/>
      <c r="E35" s="571"/>
      <c r="F35" s="571"/>
      <c r="G35" s="571"/>
      <c r="H35" s="3"/>
      <c r="I35" s="23">
        <f>IF('Camp-Abrechnung 1.0'!J8="ja",200,0)</f>
        <v>0</v>
      </c>
      <c r="J35" s="12"/>
    </row>
    <row r="36" spans="2:11" ht="14.4" thickBot="1" x14ac:dyDescent="0.3">
      <c r="B36" s="12"/>
      <c r="C36" s="12"/>
      <c r="D36" s="12"/>
      <c r="E36" s="12"/>
      <c r="F36" s="12"/>
      <c r="G36" s="12"/>
      <c r="H36" s="12"/>
      <c r="I36" s="12"/>
      <c r="J36" s="12"/>
    </row>
    <row r="37" spans="2:11" ht="15.75" customHeight="1" thickBot="1" x14ac:dyDescent="0.3">
      <c r="B37" s="12"/>
      <c r="C37" s="12"/>
      <c r="D37" s="12"/>
      <c r="E37" s="12"/>
      <c r="F37" s="12"/>
      <c r="G37" s="14" t="s">
        <v>28</v>
      </c>
      <c r="H37" s="14"/>
      <c r="I37" s="24">
        <f>I33+I35</f>
        <v>0</v>
      </c>
      <c r="J37" s="12"/>
    </row>
    <row r="38" spans="2:11" ht="13.8" x14ac:dyDescent="0.25">
      <c r="B38" s="12"/>
      <c r="G38" s="17"/>
      <c r="J38" s="12"/>
    </row>
    <row r="39" spans="2:11" ht="13.8" x14ac:dyDescent="0.25">
      <c r="B39" s="12"/>
    </row>
    <row r="40" spans="2:11" ht="13.8" x14ac:dyDescent="0.25">
      <c r="C40" s="12"/>
      <c r="D40" s="12"/>
      <c r="E40" s="12"/>
      <c r="F40" s="12"/>
      <c r="G40" s="12"/>
      <c r="H40" s="12"/>
      <c r="I40" s="12"/>
    </row>
  </sheetData>
  <sheetProtection password="C3D7" sheet="1"/>
  <mergeCells count="16">
    <mergeCell ref="C32:H32"/>
    <mergeCell ref="C33:G33"/>
    <mergeCell ref="C35:G35"/>
    <mergeCell ref="C12:H12"/>
    <mergeCell ref="C13:H13"/>
    <mergeCell ref="C14:H14"/>
    <mergeCell ref="C15:H15"/>
    <mergeCell ref="C16:H16"/>
    <mergeCell ref="C17:H17"/>
    <mergeCell ref="C18:H18"/>
    <mergeCell ref="C23:H23"/>
    <mergeCell ref="C24:H24"/>
    <mergeCell ref="C19:H19"/>
    <mergeCell ref="C20:H20"/>
    <mergeCell ref="C21:H21"/>
    <mergeCell ref="C22:H22"/>
  </mergeCells>
  <phoneticPr fontId="0" type="noConversion"/>
  <pageMargins left="0.78740157480314965" right="0.19685039370078741" top="0.82677165354330717" bottom="0.31496062992125984" header="0.35433070866141736" footer="0.15748031496062992"/>
  <pageSetup paperSize="9" scale="99" orientation="portrait" r:id="rId1"/>
  <headerFooter alignWithMargins="0">
    <oddHeader>&amp;R&amp;G</oddHeader>
    <oddFooter>&amp;L&amp;8 2013 V. 1.0 (01.09.12)&amp;R&amp;8gedruckt: &amp;D;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6">
    <tabColor indexed="43"/>
    <pageSetUpPr fitToPage="1"/>
  </sheetPr>
  <dimension ref="A1:H46"/>
  <sheetViews>
    <sheetView zoomScale="85" zoomScaleNormal="85" workbookViewId="0">
      <selection activeCell="B6" sqref="B6"/>
    </sheetView>
  </sheetViews>
  <sheetFormatPr baseColWidth="10" defaultColWidth="11.44140625" defaultRowHeight="13.2" x14ac:dyDescent="0.25"/>
  <cols>
    <col min="1" max="1" width="3.6640625" style="287" customWidth="1"/>
    <col min="2" max="2" width="39.44140625" style="287" customWidth="1"/>
    <col min="3" max="3" width="7.109375" style="287" customWidth="1"/>
    <col min="4" max="5" width="11.88671875" style="287" customWidth="1"/>
    <col min="6" max="6" width="7.33203125" style="287" customWidth="1"/>
    <col min="7" max="7" width="11.44140625" style="287" customWidth="1"/>
    <col min="8" max="8" width="4.5546875" style="287" customWidth="1"/>
    <col min="9" max="16384" width="11.44140625" style="287"/>
  </cols>
  <sheetData>
    <row r="1" spans="1:8" x14ac:dyDescent="0.25">
      <c r="B1" s="649" t="str">
        <f>IF(LagerTyp&lt;&gt;"SH-Camp o. DL"," Diese Seite wird nur für SH-Camp ohne Dienstleisungspaket verwenden","")</f>
        <v xml:space="preserve"> Diese Seite wird nur für SH-Camp ohne Dienstleisungspaket verwenden</v>
      </c>
      <c r="C1" s="649"/>
      <c r="D1" s="649"/>
      <c r="E1" s="649"/>
      <c r="F1" s="649"/>
      <c r="G1" s="649"/>
    </row>
    <row r="2" spans="1:8" ht="15.6" x14ac:dyDescent="0.3">
      <c r="B2" s="456" t="s">
        <v>441</v>
      </c>
      <c r="C2" s="455"/>
      <c r="D2" s="455" t="str">
        <f>IF('SH-Abrechnung 1.0'!C4="","",'SH-Abrechnung 1.0'!C4&amp;" - "&amp;'SH-Abrechnung 1.0'!C8)</f>
        <v/>
      </c>
      <c r="E2" s="455"/>
      <c r="F2" s="454"/>
      <c r="G2" s="453">
        <f>'SH-Abrechnung 1.0'!K2</f>
        <v>2024</v>
      </c>
    </row>
    <row r="3" spans="1:8" x14ac:dyDescent="0.25">
      <c r="G3" s="452" t="s">
        <v>3178</v>
      </c>
    </row>
    <row r="4" spans="1:8" ht="13.8" x14ac:dyDescent="0.25">
      <c r="B4" s="451" t="s">
        <v>440</v>
      </c>
      <c r="H4" s="437"/>
    </row>
    <row r="5" spans="1:8" ht="7.5" customHeight="1" x14ac:dyDescent="0.25">
      <c r="H5" s="288"/>
    </row>
    <row r="6" spans="1:8" x14ac:dyDescent="0.25">
      <c r="B6" s="450" t="s">
        <v>439</v>
      </c>
    </row>
    <row r="7" spans="1:8" ht="3.75" customHeight="1" x14ac:dyDescent="0.25">
      <c r="H7" s="437"/>
    </row>
    <row r="9" spans="1:8" ht="13.8" x14ac:dyDescent="0.25">
      <c r="B9" s="287" t="s">
        <v>438</v>
      </c>
      <c r="C9" s="287">
        <f>COUNTIF(C13:C47,"G")</f>
        <v>0</v>
      </c>
      <c r="E9" s="449" t="s">
        <v>437</v>
      </c>
      <c r="G9" s="287" t="s">
        <v>436</v>
      </c>
      <c r="H9" s="437"/>
    </row>
    <row r="10" spans="1:8" ht="13.8" x14ac:dyDescent="0.25">
      <c r="B10" s="287" t="s">
        <v>435</v>
      </c>
      <c r="C10" s="287">
        <f>COUNTIF(C13:C47,"L")</f>
        <v>0</v>
      </c>
      <c r="D10" s="449"/>
      <c r="E10" s="338">
        <f>SUM(E13:E47)</f>
        <v>0</v>
      </c>
      <c r="G10" s="448" t="str">
        <f>'SH-Abrechnung 1.0'!B14</f>
        <v>CHF</v>
      </c>
      <c r="H10" s="437"/>
    </row>
    <row r="11" spans="1:8" ht="6.75" customHeight="1" x14ac:dyDescent="0.25">
      <c r="B11" s="437"/>
      <c r="C11" s="437"/>
      <c r="D11" s="437"/>
      <c r="E11" s="437"/>
      <c r="F11" s="437"/>
      <c r="G11" s="437"/>
      <c r="H11" s="437"/>
    </row>
    <row r="12" spans="1:8" ht="15.75" customHeight="1" x14ac:dyDescent="0.25">
      <c r="B12" s="447" t="s">
        <v>434</v>
      </c>
      <c r="C12" s="446" t="s">
        <v>433</v>
      </c>
      <c r="D12" s="446" t="s">
        <v>432</v>
      </c>
      <c r="E12" s="445" t="s">
        <v>431</v>
      </c>
      <c r="F12" s="444"/>
      <c r="G12" s="443" t="s">
        <v>430</v>
      </c>
      <c r="H12" s="437"/>
    </row>
    <row r="13" spans="1:8" ht="15.75" customHeight="1" x14ac:dyDescent="0.25">
      <c r="A13" s="287">
        <f t="shared" ref="A13:A46" si="0">IF(B13="","",A12+1)</f>
        <v>1</v>
      </c>
      <c r="B13" s="176" t="s">
        <v>55</v>
      </c>
      <c r="C13" s="442"/>
      <c r="D13" s="441" t="str">
        <f t="shared" ref="D13:D46" si="1">IF(C13="","",IF(C13="G",0.1,0.5))</f>
        <v/>
      </c>
      <c r="E13" s="440" t="str">
        <f t="shared" ref="E13:E46" si="2">IF(C13="","",$G$10*D13)</f>
        <v/>
      </c>
      <c r="F13" s="439"/>
      <c r="G13" s="438" t="str">
        <f t="shared" ref="G13:G46" si="3">IF(C13="","",$G$10-E13)</f>
        <v/>
      </c>
      <c r="H13" s="437"/>
    </row>
    <row r="14" spans="1:8" ht="15.75" customHeight="1" x14ac:dyDescent="0.25">
      <c r="A14" s="287">
        <f t="shared" si="0"/>
        <v>2</v>
      </c>
      <c r="B14" s="176" t="s">
        <v>55</v>
      </c>
      <c r="C14" s="442"/>
      <c r="D14" s="441" t="str">
        <f t="shared" si="1"/>
        <v/>
      </c>
      <c r="E14" s="440" t="str">
        <f t="shared" si="2"/>
        <v/>
      </c>
      <c r="F14" s="439"/>
      <c r="G14" s="438" t="str">
        <f t="shared" si="3"/>
        <v/>
      </c>
      <c r="H14" s="437"/>
    </row>
    <row r="15" spans="1:8" ht="15.75" customHeight="1" x14ac:dyDescent="0.25">
      <c r="A15" s="287">
        <f t="shared" si="0"/>
        <v>3</v>
      </c>
      <c r="B15" s="176" t="s">
        <v>55</v>
      </c>
      <c r="C15" s="442"/>
      <c r="D15" s="441" t="str">
        <f t="shared" si="1"/>
        <v/>
      </c>
      <c r="E15" s="440" t="str">
        <f t="shared" si="2"/>
        <v/>
      </c>
      <c r="F15" s="439"/>
      <c r="G15" s="438" t="str">
        <f t="shared" si="3"/>
        <v/>
      </c>
      <c r="H15" s="437"/>
    </row>
    <row r="16" spans="1:8" ht="15.75" customHeight="1" x14ac:dyDescent="0.25">
      <c r="A16" s="287">
        <f t="shared" si="0"/>
        <v>4</v>
      </c>
      <c r="B16" s="176" t="s">
        <v>55</v>
      </c>
      <c r="C16" s="442"/>
      <c r="D16" s="441" t="str">
        <f t="shared" si="1"/>
        <v/>
      </c>
      <c r="E16" s="440" t="str">
        <f t="shared" si="2"/>
        <v/>
      </c>
      <c r="F16" s="439"/>
      <c r="G16" s="438" t="str">
        <f t="shared" si="3"/>
        <v/>
      </c>
      <c r="H16" s="437"/>
    </row>
    <row r="17" spans="1:8" ht="15.75" customHeight="1" x14ac:dyDescent="0.25">
      <c r="A17" s="287">
        <f t="shared" si="0"/>
        <v>5</v>
      </c>
      <c r="B17" s="176" t="s">
        <v>55</v>
      </c>
      <c r="C17" s="442"/>
      <c r="D17" s="441" t="str">
        <f t="shared" si="1"/>
        <v/>
      </c>
      <c r="E17" s="440" t="str">
        <f t="shared" si="2"/>
        <v/>
      </c>
      <c r="F17" s="439"/>
      <c r="G17" s="438" t="str">
        <f t="shared" si="3"/>
        <v/>
      </c>
      <c r="H17" s="437"/>
    </row>
    <row r="18" spans="1:8" ht="15.75" customHeight="1" x14ac:dyDescent="0.25">
      <c r="A18" s="287">
        <f t="shared" si="0"/>
        <v>6</v>
      </c>
      <c r="B18" s="176" t="s">
        <v>55</v>
      </c>
      <c r="C18" s="442"/>
      <c r="D18" s="441" t="str">
        <f t="shared" si="1"/>
        <v/>
      </c>
      <c r="E18" s="440" t="str">
        <f t="shared" si="2"/>
        <v/>
      </c>
      <c r="F18" s="439"/>
      <c r="G18" s="438" t="str">
        <f t="shared" si="3"/>
        <v/>
      </c>
      <c r="H18" s="437"/>
    </row>
    <row r="19" spans="1:8" ht="15.75" customHeight="1" x14ac:dyDescent="0.25">
      <c r="A19" s="287">
        <f t="shared" si="0"/>
        <v>7</v>
      </c>
      <c r="B19" s="176" t="s">
        <v>55</v>
      </c>
      <c r="C19" s="442"/>
      <c r="D19" s="441" t="str">
        <f t="shared" si="1"/>
        <v/>
      </c>
      <c r="E19" s="440" t="str">
        <f t="shared" si="2"/>
        <v/>
      </c>
      <c r="F19" s="439"/>
      <c r="G19" s="438" t="str">
        <f t="shared" si="3"/>
        <v/>
      </c>
      <c r="H19" s="437"/>
    </row>
    <row r="20" spans="1:8" ht="15.75" customHeight="1" x14ac:dyDescent="0.25">
      <c r="A20" s="287">
        <f t="shared" si="0"/>
        <v>8</v>
      </c>
      <c r="B20" s="176" t="s">
        <v>55</v>
      </c>
      <c r="C20" s="442"/>
      <c r="D20" s="441" t="str">
        <f t="shared" si="1"/>
        <v/>
      </c>
      <c r="E20" s="440" t="str">
        <f t="shared" si="2"/>
        <v/>
      </c>
      <c r="F20" s="439"/>
      <c r="G20" s="438" t="str">
        <f t="shared" si="3"/>
        <v/>
      </c>
      <c r="H20" s="437"/>
    </row>
    <row r="21" spans="1:8" ht="15.75" customHeight="1" x14ac:dyDescent="0.25">
      <c r="A21" s="287">
        <f t="shared" si="0"/>
        <v>9</v>
      </c>
      <c r="B21" s="176" t="s">
        <v>55</v>
      </c>
      <c r="C21" s="442"/>
      <c r="D21" s="441" t="str">
        <f t="shared" si="1"/>
        <v/>
      </c>
      <c r="E21" s="440" t="str">
        <f t="shared" si="2"/>
        <v/>
      </c>
      <c r="F21" s="439"/>
      <c r="G21" s="438" t="str">
        <f t="shared" si="3"/>
        <v/>
      </c>
      <c r="H21" s="437"/>
    </row>
    <row r="22" spans="1:8" ht="15.75" customHeight="1" x14ac:dyDescent="0.25">
      <c r="A22" s="287">
        <f t="shared" si="0"/>
        <v>10</v>
      </c>
      <c r="B22" s="176" t="s">
        <v>55</v>
      </c>
      <c r="C22" s="442"/>
      <c r="D22" s="441" t="str">
        <f t="shared" si="1"/>
        <v/>
      </c>
      <c r="E22" s="440" t="str">
        <f t="shared" si="2"/>
        <v/>
      </c>
      <c r="F22" s="439"/>
      <c r="G22" s="438" t="str">
        <f t="shared" si="3"/>
        <v/>
      </c>
      <c r="H22" s="437"/>
    </row>
    <row r="23" spans="1:8" ht="15.75" customHeight="1" x14ac:dyDescent="0.25">
      <c r="A23" s="287">
        <f t="shared" si="0"/>
        <v>11</v>
      </c>
      <c r="B23" s="176" t="s">
        <v>55</v>
      </c>
      <c r="C23" s="442"/>
      <c r="D23" s="441" t="str">
        <f t="shared" si="1"/>
        <v/>
      </c>
      <c r="E23" s="440" t="str">
        <f t="shared" si="2"/>
        <v/>
      </c>
      <c r="F23" s="439"/>
      <c r="G23" s="438" t="str">
        <f t="shared" si="3"/>
        <v/>
      </c>
      <c r="H23" s="437"/>
    </row>
    <row r="24" spans="1:8" ht="15.75" customHeight="1" x14ac:dyDescent="0.25">
      <c r="A24" s="287">
        <f t="shared" si="0"/>
        <v>12</v>
      </c>
      <c r="B24" s="176" t="s">
        <v>55</v>
      </c>
      <c r="C24" s="442"/>
      <c r="D24" s="441" t="str">
        <f t="shared" si="1"/>
        <v/>
      </c>
      <c r="E24" s="440" t="str">
        <f t="shared" si="2"/>
        <v/>
      </c>
      <c r="F24" s="439"/>
      <c r="G24" s="438" t="str">
        <f t="shared" si="3"/>
        <v/>
      </c>
      <c r="H24" s="437"/>
    </row>
    <row r="25" spans="1:8" ht="15.75" customHeight="1" x14ac:dyDescent="0.25">
      <c r="A25" s="287">
        <f t="shared" si="0"/>
        <v>13</v>
      </c>
      <c r="B25" s="176" t="s">
        <v>55</v>
      </c>
      <c r="C25" s="442"/>
      <c r="D25" s="441" t="str">
        <f t="shared" si="1"/>
        <v/>
      </c>
      <c r="E25" s="440" t="str">
        <f t="shared" si="2"/>
        <v/>
      </c>
      <c r="F25" s="439"/>
      <c r="G25" s="438" t="str">
        <f t="shared" si="3"/>
        <v/>
      </c>
      <c r="H25" s="437"/>
    </row>
    <row r="26" spans="1:8" ht="15.75" customHeight="1" x14ac:dyDescent="0.25">
      <c r="A26" s="287">
        <f t="shared" si="0"/>
        <v>14</v>
      </c>
      <c r="B26" s="176" t="s">
        <v>55</v>
      </c>
      <c r="C26" s="442"/>
      <c r="D26" s="441" t="str">
        <f t="shared" si="1"/>
        <v/>
      </c>
      <c r="E26" s="440" t="str">
        <f t="shared" si="2"/>
        <v/>
      </c>
      <c r="F26" s="439"/>
      <c r="G26" s="438" t="str">
        <f t="shared" si="3"/>
        <v/>
      </c>
      <c r="H26" s="437"/>
    </row>
    <row r="27" spans="1:8" ht="15.75" customHeight="1" x14ac:dyDescent="0.25">
      <c r="A27" s="287">
        <f t="shared" si="0"/>
        <v>15</v>
      </c>
      <c r="B27" s="176" t="s">
        <v>55</v>
      </c>
      <c r="C27" s="442"/>
      <c r="D27" s="441" t="str">
        <f t="shared" si="1"/>
        <v/>
      </c>
      <c r="E27" s="440" t="str">
        <f t="shared" si="2"/>
        <v/>
      </c>
      <c r="F27" s="439"/>
      <c r="G27" s="438" t="str">
        <f t="shared" si="3"/>
        <v/>
      </c>
      <c r="H27" s="437"/>
    </row>
    <row r="28" spans="1:8" ht="15.75" customHeight="1" x14ac:dyDescent="0.25">
      <c r="A28" s="287">
        <f t="shared" si="0"/>
        <v>16</v>
      </c>
      <c r="B28" s="176" t="s">
        <v>55</v>
      </c>
      <c r="C28" s="442"/>
      <c r="D28" s="441" t="str">
        <f t="shared" si="1"/>
        <v/>
      </c>
      <c r="E28" s="440" t="str">
        <f t="shared" si="2"/>
        <v/>
      </c>
      <c r="F28" s="439"/>
      <c r="G28" s="438" t="str">
        <f t="shared" si="3"/>
        <v/>
      </c>
      <c r="H28" s="437"/>
    </row>
    <row r="29" spans="1:8" ht="15.75" customHeight="1" x14ac:dyDescent="0.25">
      <c r="A29" s="287">
        <f t="shared" si="0"/>
        <v>17</v>
      </c>
      <c r="B29" s="176" t="s">
        <v>55</v>
      </c>
      <c r="C29" s="442"/>
      <c r="D29" s="441" t="str">
        <f t="shared" si="1"/>
        <v/>
      </c>
      <c r="E29" s="440" t="str">
        <f t="shared" si="2"/>
        <v/>
      </c>
      <c r="F29" s="439"/>
      <c r="G29" s="438" t="str">
        <f t="shared" si="3"/>
        <v/>
      </c>
      <c r="H29" s="437"/>
    </row>
    <row r="30" spans="1:8" ht="15.75" customHeight="1" x14ac:dyDescent="0.25">
      <c r="A30" s="287">
        <f t="shared" si="0"/>
        <v>18</v>
      </c>
      <c r="B30" s="176" t="s">
        <v>55</v>
      </c>
      <c r="C30" s="442"/>
      <c r="D30" s="441" t="str">
        <f t="shared" si="1"/>
        <v/>
      </c>
      <c r="E30" s="440" t="str">
        <f t="shared" si="2"/>
        <v/>
      </c>
      <c r="F30" s="439"/>
      <c r="G30" s="438" t="str">
        <f t="shared" si="3"/>
        <v/>
      </c>
      <c r="H30" s="437"/>
    </row>
    <row r="31" spans="1:8" ht="15.75" customHeight="1" x14ac:dyDescent="0.25">
      <c r="A31" s="287">
        <f t="shared" si="0"/>
        <v>19</v>
      </c>
      <c r="B31" s="176" t="s">
        <v>55</v>
      </c>
      <c r="C31" s="442"/>
      <c r="D31" s="441" t="str">
        <f t="shared" si="1"/>
        <v/>
      </c>
      <c r="E31" s="440" t="str">
        <f t="shared" si="2"/>
        <v/>
      </c>
      <c r="F31" s="439"/>
      <c r="G31" s="438" t="str">
        <f t="shared" si="3"/>
        <v/>
      </c>
      <c r="H31" s="437"/>
    </row>
    <row r="32" spans="1:8" ht="15.75" customHeight="1" x14ac:dyDescent="0.25">
      <c r="A32" s="287">
        <f t="shared" si="0"/>
        <v>20</v>
      </c>
      <c r="B32" s="176" t="s">
        <v>55</v>
      </c>
      <c r="C32" s="442"/>
      <c r="D32" s="441" t="str">
        <f t="shared" si="1"/>
        <v/>
      </c>
      <c r="E32" s="440" t="str">
        <f t="shared" si="2"/>
        <v/>
      </c>
      <c r="F32" s="439"/>
      <c r="G32" s="438" t="str">
        <f t="shared" si="3"/>
        <v/>
      </c>
      <c r="H32" s="437"/>
    </row>
    <row r="33" spans="1:8" ht="15.75" customHeight="1" x14ac:dyDescent="0.25">
      <c r="A33" s="287">
        <f t="shared" si="0"/>
        <v>21</v>
      </c>
      <c r="B33" s="176" t="s">
        <v>55</v>
      </c>
      <c r="C33" s="442"/>
      <c r="D33" s="441" t="str">
        <f t="shared" si="1"/>
        <v/>
      </c>
      <c r="E33" s="440" t="str">
        <f t="shared" si="2"/>
        <v/>
      </c>
      <c r="F33" s="439"/>
      <c r="G33" s="438" t="str">
        <f t="shared" si="3"/>
        <v/>
      </c>
      <c r="H33" s="437"/>
    </row>
    <row r="34" spans="1:8" ht="15.75" customHeight="1" x14ac:dyDescent="0.25">
      <c r="A34" s="287">
        <f t="shared" si="0"/>
        <v>22</v>
      </c>
      <c r="B34" s="176" t="s">
        <v>55</v>
      </c>
      <c r="C34" s="442"/>
      <c r="D34" s="441" t="str">
        <f t="shared" si="1"/>
        <v/>
      </c>
      <c r="E34" s="440" t="str">
        <f t="shared" si="2"/>
        <v/>
      </c>
      <c r="F34" s="439"/>
      <c r="G34" s="438" t="str">
        <f t="shared" si="3"/>
        <v/>
      </c>
      <c r="H34" s="437"/>
    </row>
    <row r="35" spans="1:8" ht="15.75" customHeight="1" x14ac:dyDescent="0.25">
      <c r="A35" s="287">
        <f t="shared" si="0"/>
        <v>23</v>
      </c>
      <c r="B35" s="176" t="s">
        <v>55</v>
      </c>
      <c r="C35" s="442"/>
      <c r="D35" s="441" t="str">
        <f t="shared" si="1"/>
        <v/>
      </c>
      <c r="E35" s="440" t="str">
        <f t="shared" si="2"/>
        <v/>
      </c>
      <c r="F35" s="439"/>
      <c r="G35" s="438" t="str">
        <f t="shared" si="3"/>
        <v/>
      </c>
      <c r="H35" s="437"/>
    </row>
    <row r="36" spans="1:8" ht="15.75" customHeight="1" x14ac:dyDescent="0.25">
      <c r="A36" s="287">
        <f t="shared" si="0"/>
        <v>24</v>
      </c>
      <c r="B36" s="176" t="s">
        <v>55</v>
      </c>
      <c r="C36" s="442"/>
      <c r="D36" s="441" t="str">
        <f t="shared" si="1"/>
        <v/>
      </c>
      <c r="E36" s="440" t="str">
        <f t="shared" si="2"/>
        <v/>
      </c>
      <c r="F36" s="439"/>
      <c r="G36" s="438" t="str">
        <f t="shared" si="3"/>
        <v/>
      </c>
      <c r="H36" s="437"/>
    </row>
    <row r="37" spans="1:8" ht="15.75" customHeight="1" x14ac:dyDescent="0.25">
      <c r="A37" s="287">
        <f t="shared" si="0"/>
        <v>25</v>
      </c>
      <c r="B37" s="176" t="s">
        <v>55</v>
      </c>
      <c r="C37" s="442"/>
      <c r="D37" s="441" t="str">
        <f t="shared" si="1"/>
        <v/>
      </c>
      <c r="E37" s="440" t="str">
        <f t="shared" si="2"/>
        <v/>
      </c>
      <c r="F37" s="439"/>
      <c r="G37" s="438" t="str">
        <f t="shared" si="3"/>
        <v/>
      </c>
      <c r="H37" s="437"/>
    </row>
    <row r="38" spans="1:8" ht="15.75" customHeight="1" x14ac:dyDescent="0.25">
      <c r="A38" s="287">
        <f t="shared" si="0"/>
        <v>26</v>
      </c>
      <c r="B38" s="176" t="s">
        <v>55</v>
      </c>
      <c r="C38" s="442"/>
      <c r="D38" s="441" t="str">
        <f t="shared" si="1"/>
        <v/>
      </c>
      <c r="E38" s="440" t="str">
        <f t="shared" si="2"/>
        <v/>
      </c>
      <c r="F38" s="439"/>
      <c r="G38" s="438" t="str">
        <f t="shared" si="3"/>
        <v/>
      </c>
      <c r="H38" s="437"/>
    </row>
    <row r="39" spans="1:8" ht="15.75" customHeight="1" x14ac:dyDescent="0.25">
      <c r="A39" s="287">
        <f t="shared" si="0"/>
        <v>27</v>
      </c>
      <c r="B39" s="176" t="s">
        <v>55</v>
      </c>
      <c r="C39" s="442"/>
      <c r="D39" s="441" t="str">
        <f t="shared" si="1"/>
        <v/>
      </c>
      <c r="E39" s="440" t="str">
        <f t="shared" si="2"/>
        <v/>
      </c>
      <c r="F39" s="439"/>
      <c r="G39" s="438" t="str">
        <f t="shared" si="3"/>
        <v/>
      </c>
      <c r="H39" s="437"/>
    </row>
    <row r="40" spans="1:8" ht="15.75" customHeight="1" x14ac:dyDescent="0.25">
      <c r="A40" s="287">
        <f t="shared" si="0"/>
        <v>28</v>
      </c>
      <c r="B40" s="176" t="s">
        <v>55</v>
      </c>
      <c r="C40" s="442"/>
      <c r="D40" s="441" t="str">
        <f t="shared" si="1"/>
        <v/>
      </c>
      <c r="E40" s="440" t="str">
        <f t="shared" si="2"/>
        <v/>
      </c>
      <c r="F40" s="439"/>
      <c r="G40" s="438" t="str">
        <f t="shared" si="3"/>
        <v/>
      </c>
      <c r="H40" s="437"/>
    </row>
    <row r="41" spans="1:8" ht="15.75" customHeight="1" x14ac:dyDescent="0.25">
      <c r="A41" s="287">
        <f t="shared" si="0"/>
        <v>29</v>
      </c>
      <c r="B41" s="176" t="s">
        <v>55</v>
      </c>
      <c r="C41" s="442"/>
      <c r="D41" s="441" t="str">
        <f t="shared" si="1"/>
        <v/>
      </c>
      <c r="E41" s="440" t="str">
        <f t="shared" si="2"/>
        <v/>
      </c>
      <c r="F41" s="439"/>
      <c r="G41" s="438" t="str">
        <f t="shared" si="3"/>
        <v/>
      </c>
      <c r="H41" s="437"/>
    </row>
    <row r="42" spans="1:8" ht="15.75" customHeight="1" x14ac:dyDescent="0.25">
      <c r="A42" s="287">
        <f t="shared" si="0"/>
        <v>30</v>
      </c>
      <c r="B42" s="176" t="s">
        <v>55</v>
      </c>
      <c r="C42" s="442"/>
      <c r="D42" s="441" t="str">
        <f t="shared" si="1"/>
        <v/>
      </c>
      <c r="E42" s="440" t="str">
        <f t="shared" si="2"/>
        <v/>
      </c>
      <c r="F42" s="439"/>
      <c r="G42" s="438" t="str">
        <f t="shared" si="3"/>
        <v/>
      </c>
      <c r="H42" s="437"/>
    </row>
    <row r="43" spans="1:8" ht="15.75" customHeight="1" x14ac:dyDescent="0.25">
      <c r="A43" s="287">
        <f t="shared" si="0"/>
        <v>31</v>
      </c>
      <c r="B43" s="176" t="s">
        <v>55</v>
      </c>
      <c r="C43" s="442"/>
      <c r="D43" s="441" t="str">
        <f t="shared" si="1"/>
        <v/>
      </c>
      <c r="E43" s="440" t="str">
        <f t="shared" si="2"/>
        <v/>
      </c>
      <c r="F43" s="439"/>
      <c r="G43" s="438" t="str">
        <f t="shared" si="3"/>
        <v/>
      </c>
      <c r="H43" s="437"/>
    </row>
    <row r="44" spans="1:8" ht="15.75" customHeight="1" x14ac:dyDescent="0.25">
      <c r="A44" s="287">
        <f t="shared" si="0"/>
        <v>32</v>
      </c>
      <c r="B44" s="176" t="s">
        <v>55</v>
      </c>
      <c r="C44" s="442"/>
      <c r="D44" s="441" t="str">
        <f t="shared" si="1"/>
        <v/>
      </c>
      <c r="E44" s="440" t="str">
        <f t="shared" si="2"/>
        <v/>
      </c>
      <c r="F44" s="439"/>
      <c r="G44" s="438" t="str">
        <f t="shared" si="3"/>
        <v/>
      </c>
      <c r="H44" s="437"/>
    </row>
    <row r="45" spans="1:8" ht="15.75" customHeight="1" x14ac:dyDescent="0.25">
      <c r="A45" s="287">
        <f t="shared" si="0"/>
        <v>33</v>
      </c>
      <c r="B45" s="176" t="s">
        <v>55</v>
      </c>
      <c r="C45" s="442"/>
      <c r="D45" s="441" t="str">
        <f t="shared" si="1"/>
        <v/>
      </c>
      <c r="E45" s="440" t="str">
        <f t="shared" si="2"/>
        <v/>
      </c>
      <c r="F45" s="439"/>
      <c r="G45" s="438" t="str">
        <f t="shared" si="3"/>
        <v/>
      </c>
      <c r="H45" s="437"/>
    </row>
    <row r="46" spans="1:8" ht="15.75" customHeight="1" x14ac:dyDescent="0.25">
      <c r="A46" s="287">
        <f t="shared" si="0"/>
        <v>34</v>
      </c>
      <c r="B46" s="176" t="s">
        <v>55</v>
      </c>
      <c r="C46" s="442"/>
      <c r="D46" s="441" t="str">
        <f t="shared" si="1"/>
        <v/>
      </c>
      <c r="E46" s="440" t="str">
        <f t="shared" si="2"/>
        <v/>
      </c>
      <c r="F46" s="439"/>
      <c r="G46" s="438" t="str">
        <f t="shared" si="3"/>
        <v/>
      </c>
      <c r="H46" s="437"/>
    </row>
  </sheetData>
  <sheetProtection password="C3D7" sheet="1"/>
  <mergeCells count="1">
    <mergeCell ref="B1:G1"/>
  </mergeCells>
  <conditionalFormatting sqref="B13:B46">
    <cfRule type="expression" dxfId="17" priority="4">
      <formula>IF(B13="Name, Vorname",1,0)</formula>
    </cfRule>
  </conditionalFormatting>
  <dataValidations disablePrompts="1" count="1">
    <dataValidation type="list" allowBlank="1" showInputMessage="1" showErrorMessage="1" promptTitle="Auswahl" prompt="G = Geschwisterrabatt_x000a_L = Ermässigung aufgrund Kulturlegi" sqref="C13:C46" xr:uid="{00000000-0002-0000-0B00-000000000000}">
      <formula1>"G,L"</formula1>
    </dataValidation>
  </dataValidations>
  <pageMargins left="0.70866141732283472" right="0.19685039370078741" top="0.59055118110236227" bottom="0.39370078740157483" header="0.19685039370078741" footer="0.15748031496062992"/>
  <pageSetup paperSize="9" orientation="portrait" r:id="rId1"/>
  <headerFooter alignWithMargins="0">
    <oddFooter>&amp;L&amp;8&amp;F&amp;R&amp;8gedruckt: &amp;D; &amp;T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C3686C58-5B98-4982-B9F7-A25EB435B85D}">
            <xm:f>IF(Datenstammblatt!$E$1&lt;&gt;"SH-Camp o. DL",1,0)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A2:H46</xm:sqref>
        </x14:conditionalFormatting>
        <x14:conditionalFormatting xmlns:xm="http://schemas.microsoft.com/office/excel/2006/main">
          <x14:cfRule type="expression" priority="2" id="{A3B20E83-41E3-4483-84D5-0A7F352582AC}">
            <xm:f>IF(Datenstammblatt!$E$1&lt;&gt;"SH-Camp o. DL",1,0)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B1 H1:K1</xm:sqref>
        </x14:conditionalFormatting>
        <x14:conditionalFormatting xmlns:xm="http://schemas.microsoft.com/office/excel/2006/main">
          <x14:cfRule type="expression" priority="1" id="{24C3B034-D663-4C4D-9EA0-C684B48E2DFE}">
            <xm:f>IF(Datenstammblatt!$E$1&lt;&gt;"SH-Camp o. DL",1,0)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B1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>
    <tabColor indexed="43"/>
    <pageSetUpPr fitToPage="1"/>
  </sheetPr>
  <dimension ref="A2:F70"/>
  <sheetViews>
    <sheetView zoomScale="85" zoomScaleNormal="85" workbookViewId="0">
      <selection activeCell="A36" sqref="A36"/>
    </sheetView>
  </sheetViews>
  <sheetFormatPr baseColWidth="10" defaultColWidth="9.109375" defaultRowHeight="13.2" x14ac:dyDescent="0.25"/>
  <cols>
    <col min="1" max="1" width="34.6640625" style="3" customWidth="1"/>
    <col min="2" max="2" width="26.33203125" style="3" customWidth="1"/>
    <col min="3" max="3" width="32.109375" style="3" customWidth="1"/>
    <col min="4" max="16384" width="9.109375" style="3"/>
  </cols>
  <sheetData>
    <row r="2" spans="1:3" ht="15.6" x14ac:dyDescent="0.3">
      <c r="A2" s="78"/>
    </row>
    <row r="3" spans="1:3" ht="24.6" x14ac:dyDescent="0.4">
      <c r="A3" s="77" t="str">
        <f>IF('Camp-Abrechnung 1.0'!F2="Camp","Camp Auszahlungsbeiblatt", "SH-Auszahlungsbeiblatt")</f>
        <v>SH-Auszahlungsbeiblatt</v>
      </c>
      <c r="C3" s="163">
        <f>Anleitung!G1</f>
        <v>2024</v>
      </c>
    </row>
    <row r="4" spans="1:3" x14ac:dyDescent="0.25">
      <c r="C4" s="224" t="str">
        <f>"Ver. "&amp;Anleitung!H2</f>
        <v>Ver. 2024 - 1.0</v>
      </c>
    </row>
    <row r="5" spans="1:3" ht="15" x14ac:dyDescent="0.25">
      <c r="A5" s="79" t="s">
        <v>263</v>
      </c>
    </row>
    <row r="6" spans="1:3" ht="15" x14ac:dyDescent="0.25">
      <c r="A6" s="79" t="s">
        <v>264</v>
      </c>
    </row>
    <row r="8" spans="1:3" ht="21" x14ac:dyDescent="0.4">
      <c r="A8" s="71"/>
    </row>
    <row r="9" spans="1:3" ht="18" thickBot="1" x14ac:dyDescent="0.35">
      <c r="A9" s="80" t="s">
        <v>95</v>
      </c>
    </row>
    <row r="10" spans="1:3" ht="28.5" customHeight="1" thickBot="1" x14ac:dyDescent="0.3">
      <c r="A10" s="81" t="s">
        <v>96</v>
      </c>
      <c r="B10" s="82" t="str">
        <f>Datenstammblatt!F8</f>
        <v>Name</v>
      </c>
      <c r="C10" s="82" t="str">
        <f>Datenstammblatt!D8</f>
        <v>Vorname</v>
      </c>
    </row>
    <row r="11" spans="1:3" ht="28.5" customHeight="1" thickBot="1" x14ac:dyDescent="0.3">
      <c r="A11" s="83" t="s">
        <v>97</v>
      </c>
      <c r="B11" s="714" t="str">
        <f>Datenstammblatt!D9</f>
        <v>Strasse</v>
      </c>
      <c r="C11" s="715"/>
    </row>
    <row r="12" spans="1:3" ht="28.5" customHeight="1" thickBot="1" x14ac:dyDescent="0.3">
      <c r="A12" s="83" t="s">
        <v>98</v>
      </c>
      <c r="B12" s="82" t="str">
        <f>Datenstammblatt!F9</f>
        <v>Plz</v>
      </c>
      <c r="C12" s="82" t="str">
        <f>Datenstammblatt!G9</f>
        <v>Ort</v>
      </c>
    </row>
    <row r="13" spans="1:3" ht="28.5" customHeight="1" thickBot="1" x14ac:dyDescent="0.3">
      <c r="A13" s="83" t="str">
        <f>IF(LagerTyp="Camp","Camp-Nr.","Schulhaus")</f>
        <v>Schulhaus</v>
      </c>
      <c r="B13" s="714" t="str">
        <f>IF(LagerTyp="Camp",Datenstammblatt!D4,Datenstammblatt!E4)</f>
        <v>Schulhaus</v>
      </c>
      <c r="C13" s="715"/>
    </row>
    <row r="14" spans="1:3" ht="28.5" customHeight="1" thickBot="1" x14ac:dyDescent="0.3">
      <c r="A14" s="83" t="str">
        <f>IF(LagerTyp="Camp","Camp","Lager")&amp;"-Ort"</f>
        <v>Lager-Ort</v>
      </c>
      <c r="B14" s="714" t="str">
        <f>Datenstammblatt!G5</f>
        <v>Ort</v>
      </c>
      <c r="C14" s="715"/>
    </row>
    <row r="15" spans="1:3" ht="17.399999999999999" x14ac:dyDescent="0.3">
      <c r="A15" s="84"/>
      <c r="B15" s="85"/>
      <c r="C15" s="85"/>
    </row>
    <row r="16" spans="1:3" ht="18" thickBot="1" x14ac:dyDescent="0.35">
      <c r="A16" s="84" t="str">
        <f>IF('Camp-Abrechnung 1.0'!L69&gt;=0,"2. Zahlungsverkehr","2. Rechnung an")</f>
        <v>2. Zahlungsverkehr</v>
      </c>
      <c r="B16" s="85"/>
      <c r="C16" s="85"/>
    </row>
    <row r="17" spans="1:6" ht="28.5" customHeight="1" thickBot="1" x14ac:dyDescent="0.3">
      <c r="A17" s="81" t="str">
        <f>IF('Camp-Abrechnung 1.0'!L69&lt;0,"","Postcheckkonto")</f>
        <v>Postcheckkonto</v>
      </c>
      <c r="B17" s="716">
        <f>IF(OR(Datenstammblatt!D19="",'Camp-Abrechnung 1.0'!L69&lt;0),"",Datenstammblatt!D19)</f>
        <v>0</v>
      </c>
      <c r="C17" s="717"/>
    </row>
    <row r="18" spans="1:6" ht="13.5" customHeight="1" thickBot="1" x14ac:dyDescent="0.3">
      <c r="A18" s="113" t="str">
        <f>IF('Camp-Abrechnung 1.0'!L69&lt;0,"","           oder")</f>
        <v xml:space="preserve">           oder</v>
      </c>
      <c r="B18" s="114"/>
      <c r="C18" s="115"/>
    </row>
    <row r="19" spans="1:6" ht="28.5" customHeight="1" thickBot="1" x14ac:dyDescent="0.3">
      <c r="A19" s="83" t="str">
        <f>IF('Camp-Abrechnung 1.0'!L69&lt;0,"","Bank, Bankadresse")</f>
        <v>Bank, Bankadresse</v>
      </c>
      <c r="B19" s="716" t="str">
        <f>IF(OR(Datenstammblatt!D22=0,Datenstammblatt!D22="",'Camp-Abrechnung 1.0'!L69&lt;0),"",Datenstammblatt!D22&amp;" "&amp;Datenstammblatt!D23&amp;" "&amp;Datenstammblatt!E23)</f>
        <v/>
      </c>
      <c r="C19" s="717"/>
    </row>
    <row r="20" spans="1:6" ht="28.5" customHeight="1" thickBot="1" x14ac:dyDescent="0.3">
      <c r="A20" s="83" t="str">
        <f>IF('Camp-Abrechnung 1.0'!L69&lt;0,"","IBAN")</f>
        <v>IBAN</v>
      </c>
      <c r="B20" s="716">
        <f>IF(OR(Datenstammblatt!D21="",'Camp-Abrechnung 1.0'!L69&lt;0),"",Datenstammblatt!D21)</f>
        <v>0</v>
      </c>
      <c r="C20" s="717"/>
    </row>
    <row r="21" spans="1:6" ht="13.5" customHeight="1" thickBot="1" x14ac:dyDescent="0.3">
      <c r="A21" s="113" t="str">
        <f>IF('Camp-Abrechnung 1.0'!L69&lt;0,"","           Konto lautend auf:")</f>
        <v xml:space="preserve">           Konto lautend auf:</v>
      </c>
      <c r="B21" s="114"/>
      <c r="C21" s="115"/>
    </row>
    <row r="22" spans="1:6" ht="28.5" customHeight="1" thickBot="1" x14ac:dyDescent="0.3">
      <c r="A22" s="83" t="str">
        <f>IF('Camp-Abrechnung 1.0'!L69&gt;=0,"Kontoinhaber","Rechnungsadresse")</f>
        <v>Kontoinhaber</v>
      </c>
      <c r="B22" s="716" t="str">
        <f>IF(Datenstammblatt!D25="vorname","",Datenstammblatt!D25&amp; " " &amp;Datenstammblatt!F25)</f>
        <v/>
      </c>
      <c r="C22" s="717"/>
    </row>
    <row r="23" spans="1:6" ht="28.5" customHeight="1" thickBot="1" x14ac:dyDescent="0.3">
      <c r="A23" s="83" t="str">
        <f>IF('Camp-Abrechnung 1.0'!L69&gt;=0,"PLZ, Ort","Adresse, PLZ, Ort")</f>
        <v>PLZ, Ort</v>
      </c>
      <c r="B23" s="716" t="str">
        <f>IF(OR(Datenstammblatt!D26="plz",'Camp-Abrechnung 1.0'!L69&lt;0),"",Datenstammblatt!D26&amp;" "&amp;Datenstammblatt!E26)</f>
        <v/>
      </c>
      <c r="C23" s="717"/>
    </row>
    <row r="24" spans="1:6" ht="15" x14ac:dyDescent="0.25">
      <c r="A24" s="1"/>
    </row>
    <row r="25" spans="1:6" ht="23.4" thickBot="1" x14ac:dyDescent="0.45">
      <c r="A25" s="86"/>
    </row>
    <row r="26" spans="1:6" ht="42.75" customHeight="1" thickBot="1" x14ac:dyDescent="0.3">
      <c r="A26" s="87" t="s">
        <v>112</v>
      </c>
      <c r="B26" s="88" t="str">
        <f>IF(OR(C26="",'Camp-Abrechnung 1.0'!L69&gt;0),"Hauptleitung: 
Fr.  "&amp;TEXT('Camp-Abrechnung 1.0'!L69,"#'##0.00"),"")</f>
        <v>Hauptleitung: 
Fr.  0.00</v>
      </c>
      <c r="C26" s="88" t="str">
        <f>IF('Camp-Abrechnung 1.0'!L69&lt;0,"Fr.  "&amp;TEXT('Camp-Abrechnung 1.0'!L69*-1,"#'##0.00"),"")</f>
        <v/>
      </c>
    </row>
    <row r="27" spans="1:6" ht="17.399999999999999" x14ac:dyDescent="0.3">
      <c r="A27" s="76"/>
      <c r="C27" s="67" t="str">
        <f>IF('Camp-Abrechnung 1.0'!L69&lt;0,"Zur Begleichung des Betrages, wird dir das Sportamt eine Rechnung zustellen !","")</f>
        <v/>
      </c>
    </row>
    <row r="28" spans="1:6" ht="18" thickBot="1" x14ac:dyDescent="0.35">
      <c r="A28" s="76"/>
    </row>
    <row r="29" spans="1:6" s="91" customFormat="1" ht="19.5" customHeight="1" x14ac:dyDescent="0.25">
      <c r="A29" s="89" t="s">
        <v>99</v>
      </c>
      <c r="B29" s="90" t="s">
        <v>100</v>
      </c>
      <c r="C29" s="90" t="s">
        <v>262</v>
      </c>
      <c r="D29" s="3"/>
      <c r="E29" s="3"/>
      <c r="F29" s="3"/>
    </row>
    <row r="30" spans="1:6" s="91" customFormat="1" ht="30" customHeight="1" thickBot="1" x14ac:dyDescent="0.3">
      <c r="A30" s="92"/>
      <c r="B30" s="93"/>
      <c r="C30" s="93"/>
      <c r="D30" s="3"/>
      <c r="E30" s="3"/>
      <c r="F30" s="3"/>
    </row>
    <row r="31" spans="1:6" ht="15.6" x14ac:dyDescent="0.3">
      <c r="A31" s="94"/>
    </row>
    <row r="32" spans="1:6" ht="15.6" x14ac:dyDescent="0.3">
      <c r="A32" s="94" t="s">
        <v>102</v>
      </c>
    </row>
    <row r="33" spans="1:1" ht="15" x14ac:dyDescent="0.25">
      <c r="A33" s="225" t="s">
        <v>265</v>
      </c>
    </row>
    <row r="34" spans="1:1" ht="15" x14ac:dyDescent="0.25">
      <c r="A34" s="225" t="s">
        <v>266</v>
      </c>
    </row>
    <row r="35" spans="1:1" ht="15" x14ac:dyDescent="0.25">
      <c r="A35" s="225" t="s">
        <v>267</v>
      </c>
    </row>
    <row r="36" spans="1:1" ht="15" x14ac:dyDescent="0.25">
      <c r="A36" s="225" t="s">
        <v>268</v>
      </c>
    </row>
    <row r="70" spans="1:1" ht="17.399999999999999" x14ac:dyDescent="0.3">
      <c r="A70" s="85"/>
    </row>
  </sheetData>
  <sheetProtection password="C3D7" sheet="1"/>
  <mergeCells count="8">
    <mergeCell ref="B11:C11"/>
    <mergeCell ref="B20:C20"/>
    <mergeCell ref="B23:C23"/>
    <mergeCell ref="B13:C13"/>
    <mergeCell ref="B14:C14"/>
    <mergeCell ref="B17:C17"/>
    <mergeCell ref="B19:C19"/>
    <mergeCell ref="B22:C22"/>
  </mergeCells>
  <phoneticPr fontId="17" type="noConversion"/>
  <conditionalFormatting sqref="A16">
    <cfRule type="cellIs" dxfId="16" priority="3" operator="equal">
      <formula>"2. Rechnung an"</formula>
    </cfRule>
  </conditionalFormatting>
  <conditionalFormatting sqref="B10">
    <cfRule type="cellIs" dxfId="15" priority="8" stopIfTrue="1" operator="equal">
      <formula>"name"</formula>
    </cfRule>
  </conditionalFormatting>
  <conditionalFormatting sqref="B11">
    <cfRule type="cellIs" dxfId="14" priority="10" stopIfTrue="1" operator="equal">
      <formula>"Strasse"</formula>
    </cfRule>
  </conditionalFormatting>
  <conditionalFormatting sqref="B12">
    <cfRule type="cellIs" dxfId="13" priority="7" stopIfTrue="1" operator="equal">
      <formula>"plz"</formula>
    </cfRule>
  </conditionalFormatting>
  <conditionalFormatting sqref="B13">
    <cfRule type="cellIs" dxfId="12" priority="2" stopIfTrue="1" operator="equal">
      <formula>"NR."</formula>
    </cfRule>
    <cfRule type="cellIs" dxfId="11" priority="5" stopIfTrue="1" operator="equal">
      <formula>"Schulhaus"</formula>
    </cfRule>
  </conditionalFormatting>
  <conditionalFormatting sqref="B14">
    <cfRule type="cellIs" dxfId="10" priority="4" stopIfTrue="1" operator="equal">
      <formula>"Ort"</formula>
    </cfRule>
  </conditionalFormatting>
  <conditionalFormatting sqref="B26">
    <cfRule type="cellIs" dxfId="9" priority="12" stopIfTrue="1" operator="equal">
      <formula>""</formula>
    </cfRule>
  </conditionalFormatting>
  <conditionalFormatting sqref="B17:C17 B19:C20">
    <cfRule type="cellIs" dxfId="8" priority="1" operator="equal">
      <formula>0</formula>
    </cfRule>
  </conditionalFormatting>
  <conditionalFormatting sqref="C10">
    <cfRule type="cellIs" dxfId="7" priority="11" stopIfTrue="1" operator="equal">
      <formula>"Vorname"</formula>
    </cfRule>
  </conditionalFormatting>
  <conditionalFormatting sqref="C12">
    <cfRule type="cellIs" dxfId="6" priority="6" stopIfTrue="1" operator="equal">
      <formula>"Ort"</formula>
    </cfRule>
  </conditionalFormatting>
  <pageMargins left="0.78740157480314965" right="0.19685039370078741" top="0.82677165354330717" bottom="0.31496062992125984" header="0.35433070866141736" footer="0.15748031496062992"/>
  <pageSetup paperSize="9" orientation="portrait" r:id="rId1"/>
  <headerFooter alignWithMargins="0">
    <oddHeader>&amp;R&amp;G</oddHeader>
    <oddFooter>&amp;L&amp;8 2013 V. 1.0 (01.09.12)&amp;R&amp;8gedruckt: &amp;D; &amp;T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indexed="42"/>
    <pageSetUpPr fitToPage="1"/>
  </sheetPr>
  <dimension ref="A1:E30"/>
  <sheetViews>
    <sheetView zoomScaleNormal="100" zoomScaleSheetLayoutView="85" workbookViewId="0">
      <selection activeCell="G21" sqref="G21"/>
    </sheetView>
  </sheetViews>
  <sheetFormatPr baseColWidth="10" defaultColWidth="9.109375" defaultRowHeight="13.2" x14ac:dyDescent="0.25"/>
  <cols>
    <col min="1" max="1" width="18.88671875" style="3" customWidth="1"/>
    <col min="2" max="2" width="29.44140625" style="3" customWidth="1"/>
    <col min="3" max="3" width="23.44140625" style="3" customWidth="1"/>
    <col min="4" max="4" width="24.44140625" style="3" customWidth="1"/>
    <col min="5" max="16384" width="9.109375" style="3"/>
  </cols>
  <sheetData>
    <row r="1" spans="1:4" ht="24.6" x14ac:dyDescent="0.4">
      <c r="A1" s="77" t="str">
        <f>"Lagerbericht "&amp;Anleitung!G1</f>
        <v>Lagerbericht 2024</v>
      </c>
    </row>
    <row r="2" spans="1:4" ht="15" x14ac:dyDescent="0.25">
      <c r="A2" s="79"/>
    </row>
    <row r="4" spans="1:4" ht="15" x14ac:dyDescent="0.25">
      <c r="A4" s="79" t="s">
        <v>261</v>
      </c>
    </row>
    <row r="5" spans="1:4" ht="15.6" thickBot="1" x14ac:dyDescent="0.3">
      <c r="A5" s="79"/>
      <c r="D5" s="352" t="str">
        <f>"Ver. "&amp;Anleitung!H2</f>
        <v>Ver. 2024 - 1.0</v>
      </c>
    </row>
    <row r="6" spans="1:4" ht="18" thickBot="1" x14ac:dyDescent="0.35">
      <c r="A6" s="95" t="s">
        <v>107</v>
      </c>
      <c r="B6" s="506" t="str">
        <f>IF(Datenstammblatt!D8="vorname","",Datenstammblatt!D8&amp; " " &amp;Datenstammblatt!F8)</f>
        <v/>
      </c>
      <c r="C6" s="510"/>
      <c r="D6" s="507"/>
    </row>
    <row r="7" spans="1:4" ht="18" thickBot="1" x14ac:dyDescent="0.35">
      <c r="A7" s="96" t="str">
        <f>IF(LagerTyp="Camp","Camp Nr. / -Ort", "SH / Lagerort")</f>
        <v>SH / Lagerort</v>
      </c>
      <c r="B7" s="506" t="str">
        <f>IF(LagerTyp="Camp",Datenstammblatt!D4,Datenstammblatt!E4) &amp;  " /  "&amp;Datenstammblatt!G5</f>
        <v>Schulhaus /  Ort</v>
      </c>
      <c r="C7" s="510"/>
      <c r="D7" s="507"/>
    </row>
    <row r="8" spans="1:4" ht="17.399999999999999" x14ac:dyDescent="0.3">
      <c r="A8" s="76"/>
    </row>
    <row r="9" spans="1:4" ht="15" x14ac:dyDescent="0.25">
      <c r="A9" s="79" t="s">
        <v>130</v>
      </c>
    </row>
    <row r="10" spans="1:4" ht="15.6" x14ac:dyDescent="0.3">
      <c r="A10" s="79" t="s">
        <v>142</v>
      </c>
    </row>
    <row r="11" spans="1:4" ht="11.25" customHeight="1" x14ac:dyDescent="0.25">
      <c r="A11" s="79"/>
    </row>
    <row r="12" spans="1:4" ht="23.25" customHeight="1" x14ac:dyDescent="0.25">
      <c r="A12" s="731" t="s">
        <v>131</v>
      </c>
      <c r="B12" s="732"/>
      <c r="C12" s="732"/>
      <c r="D12" s="733"/>
    </row>
    <row r="13" spans="1:4" ht="63" customHeight="1" x14ac:dyDescent="0.25">
      <c r="A13" s="722"/>
      <c r="B13" s="723"/>
      <c r="C13" s="723"/>
      <c r="D13" s="724"/>
    </row>
    <row r="14" spans="1:4" ht="23.25" customHeight="1" x14ac:dyDescent="0.25">
      <c r="A14" s="731" t="s">
        <v>132</v>
      </c>
      <c r="B14" s="732"/>
      <c r="C14" s="732"/>
      <c r="D14" s="733"/>
    </row>
    <row r="15" spans="1:4" ht="63" customHeight="1" x14ac:dyDescent="0.25">
      <c r="A15" s="722"/>
      <c r="B15" s="723"/>
      <c r="C15" s="723"/>
      <c r="D15" s="724"/>
    </row>
    <row r="16" spans="1:4" ht="23.25" customHeight="1" x14ac:dyDescent="0.25">
      <c r="A16" s="731" t="s">
        <v>133</v>
      </c>
      <c r="B16" s="732"/>
      <c r="C16" s="732"/>
      <c r="D16" s="733"/>
    </row>
    <row r="17" spans="1:5" ht="63" customHeight="1" x14ac:dyDescent="0.25">
      <c r="A17" s="722"/>
      <c r="B17" s="723"/>
      <c r="C17" s="723"/>
      <c r="D17" s="724"/>
    </row>
    <row r="18" spans="1:5" ht="22.8" x14ac:dyDescent="0.25">
      <c r="A18" s="731" t="s">
        <v>134</v>
      </c>
      <c r="B18" s="732"/>
      <c r="C18" s="732"/>
      <c r="D18" s="733"/>
    </row>
    <row r="19" spans="1:5" s="97" customFormat="1" ht="62.25" customHeight="1" x14ac:dyDescent="0.25">
      <c r="A19" s="722"/>
      <c r="B19" s="723"/>
      <c r="C19" s="723"/>
      <c r="D19" s="724"/>
    </row>
    <row r="20" spans="1:5" ht="23.25" customHeight="1" x14ac:dyDescent="0.25">
      <c r="A20" s="731" t="s">
        <v>135</v>
      </c>
      <c r="B20" s="732"/>
      <c r="C20" s="732"/>
      <c r="D20" s="733"/>
    </row>
    <row r="21" spans="1:5" ht="62.25" customHeight="1" x14ac:dyDescent="0.25">
      <c r="A21" s="722"/>
      <c r="B21" s="723"/>
      <c r="C21" s="723"/>
      <c r="D21" s="724"/>
    </row>
    <row r="22" spans="1:5" ht="23.25" customHeight="1" x14ac:dyDescent="0.25">
      <c r="A22" s="731" t="s">
        <v>370</v>
      </c>
      <c r="B22" s="732"/>
      <c r="C22" s="279"/>
      <c r="D22" s="280"/>
    </row>
    <row r="23" spans="1:5" ht="15" customHeight="1" x14ac:dyDescent="0.25">
      <c r="A23" s="725" t="s">
        <v>371</v>
      </c>
      <c r="B23" s="726"/>
      <c r="C23" s="726"/>
      <c r="D23" s="727"/>
    </row>
    <row r="24" spans="1:5" ht="15" x14ac:dyDescent="0.25">
      <c r="A24" s="725" t="s">
        <v>321</v>
      </c>
      <c r="B24" s="726"/>
      <c r="C24" s="726"/>
      <c r="D24" s="727"/>
      <c r="E24" s="1"/>
    </row>
    <row r="25" spans="1:5" ht="15" x14ac:dyDescent="0.25">
      <c r="A25" s="725" t="s">
        <v>322</v>
      </c>
      <c r="B25" s="726"/>
      <c r="C25" s="726"/>
      <c r="D25" s="727"/>
      <c r="E25" s="1"/>
    </row>
    <row r="26" spans="1:5" ht="15" x14ac:dyDescent="0.25">
      <c r="A26" s="728" t="s">
        <v>320</v>
      </c>
      <c r="B26" s="729"/>
      <c r="C26" s="729"/>
      <c r="D26" s="730"/>
    </row>
    <row r="27" spans="1:5" ht="18.75" customHeight="1" thickBot="1" x14ac:dyDescent="0.3">
      <c r="A27" s="725" t="s">
        <v>143</v>
      </c>
      <c r="B27" s="726"/>
      <c r="C27" s="281" t="s">
        <v>145</v>
      </c>
      <c r="D27" s="282" t="s">
        <v>144</v>
      </c>
      <c r="E27" s="1"/>
    </row>
    <row r="28" spans="1:5" s="85" customFormat="1" ht="21.75" customHeight="1" x14ac:dyDescent="0.3">
      <c r="A28" s="98" t="s">
        <v>137</v>
      </c>
      <c r="B28" s="100" t="s">
        <v>136</v>
      </c>
      <c r="C28" s="718" t="s">
        <v>260</v>
      </c>
      <c r="D28" s="719"/>
    </row>
    <row r="29" spans="1:5" ht="42" customHeight="1" thickBot="1" x14ac:dyDescent="0.3">
      <c r="A29" s="66"/>
      <c r="B29" s="101"/>
      <c r="C29" s="720"/>
      <c r="D29" s="721"/>
    </row>
    <row r="30" spans="1:5" ht="17.399999999999999" x14ac:dyDescent="0.3">
      <c r="A30" s="84"/>
    </row>
  </sheetData>
  <sheetProtection password="C3D7" sheet="1"/>
  <mergeCells count="20">
    <mergeCell ref="B6:D6"/>
    <mergeCell ref="B7:D7"/>
    <mergeCell ref="A18:D18"/>
    <mergeCell ref="A20:D20"/>
    <mergeCell ref="A12:D12"/>
    <mergeCell ref="A14:D14"/>
    <mergeCell ref="A16:D16"/>
    <mergeCell ref="A13:D13"/>
    <mergeCell ref="A15:D15"/>
    <mergeCell ref="A17:D17"/>
    <mergeCell ref="A19:D19"/>
    <mergeCell ref="C28:D28"/>
    <mergeCell ref="C29:D29"/>
    <mergeCell ref="A21:D21"/>
    <mergeCell ref="A25:D25"/>
    <mergeCell ref="A24:D24"/>
    <mergeCell ref="A26:D26"/>
    <mergeCell ref="A27:B27"/>
    <mergeCell ref="A23:D23"/>
    <mergeCell ref="A22:B22"/>
  </mergeCells>
  <phoneticPr fontId="29" type="noConversion"/>
  <conditionalFormatting sqref="B6">
    <cfRule type="cellIs" dxfId="5" priority="3" stopIfTrue="1" operator="equal">
      <formula>"E-Mail"</formula>
    </cfRule>
  </conditionalFormatting>
  <conditionalFormatting sqref="B7">
    <cfRule type="cellIs" dxfId="4" priority="1" stopIfTrue="1" operator="equal">
      <formula>"Nr. /  Ort"</formula>
    </cfRule>
    <cfRule type="cellIs" dxfId="3" priority="2" stopIfTrue="1" operator="equal">
      <formula>"Schulhaus /  Ort"</formula>
    </cfRule>
  </conditionalFormatting>
  <pageMargins left="0.78740157480314965" right="0.19685039370078741" top="0.82677165354330717" bottom="0.31496062992125984" header="0.35433070866141736" footer="0.15748031496062992"/>
  <pageSetup paperSize="9" scale="98" orientation="portrait" r:id="rId1"/>
  <headerFooter alignWithMargins="0">
    <oddHeader>&amp;R&amp;G</oddHeader>
    <oddFooter>&amp;L&amp;8 2013 V. 1.0 (01.09.12)&amp;R&amp;8gedruckt: &amp;D;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Check Box 2">
              <controlPr defaultSize="0" autoFill="0" autoLine="0" autoPict="0">
                <anchor moveWithCells="1" sizeWithCells="1">
                  <from>
                    <xdr:col>3</xdr:col>
                    <xdr:colOff>800100</xdr:colOff>
                    <xdr:row>24</xdr:row>
                    <xdr:rowOff>182880</xdr:rowOff>
                  </from>
                  <to>
                    <xdr:col>3</xdr:col>
                    <xdr:colOff>1097280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5" name="Check Box 4">
              <controlPr defaultSize="0" autoFill="0" autoLine="0" autoPict="0">
                <anchor moveWithCells="1" sizeWithCells="1">
                  <from>
                    <xdr:col>3</xdr:col>
                    <xdr:colOff>342900</xdr:colOff>
                    <xdr:row>24</xdr:row>
                    <xdr:rowOff>182880</xdr:rowOff>
                  </from>
                  <to>
                    <xdr:col>3</xdr:col>
                    <xdr:colOff>647700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6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0</xdr:rowOff>
                  </from>
                  <to>
                    <xdr:col>0</xdr:col>
                    <xdr:colOff>304800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7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25</xdr:row>
                    <xdr:rowOff>182880</xdr:rowOff>
                  </from>
                  <to>
                    <xdr:col>0</xdr:col>
                    <xdr:colOff>304800</xdr:colOff>
                    <xdr:row>26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8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175260</xdr:rowOff>
                  </from>
                  <to>
                    <xdr:col>0</xdr:col>
                    <xdr:colOff>304800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9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23</xdr:row>
                    <xdr:rowOff>182880</xdr:rowOff>
                  </from>
                  <to>
                    <xdr:col>0</xdr:col>
                    <xdr:colOff>304800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0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23</xdr:row>
                    <xdr:rowOff>0</xdr:rowOff>
                  </from>
                  <to>
                    <xdr:col>0</xdr:col>
                    <xdr:colOff>297180</xdr:colOff>
                    <xdr:row>24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pageSetUpPr fitToPage="1"/>
  </sheetPr>
  <dimension ref="A1:S36"/>
  <sheetViews>
    <sheetView zoomScale="85" zoomScaleNormal="85" workbookViewId="0">
      <selection sqref="A1:E1"/>
    </sheetView>
  </sheetViews>
  <sheetFormatPr baseColWidth="10" defaultColWidth="11.44140625" defaultRowHeight="13.2" x14ac:dyDescent="0.25"/>
  <cols>
    <col min="1" max="1" width="21.6640625" style="287" customWidth="1"/>
    <col min="2" max="3" width="13" style="287" customWidth="1"/>
    <col min="4" max="4" width="13.5546875" style="287" customWidth="1"/>
    <col min="5" max="5" width="14.5546875" style="287" customWidth="1"/>
    <col min="6" max="6" width="14.33203125" style="287" customWidth="1"/>
    <col min="7" max="7" width="14.33203125" style="287" hidden="1" customWidth="1"/>
    <col min="8" max="8" width="5.109375" style="287" hidden="1" customWidth="1"/>
    <col min="9" max="9" width="16.44140625" style="287" hidden="1" customWidth="1"/>
    <col min="10" max="14" width="11.44140625" style="287"/>
    <col min="15" max="15" width="14.109375" style="287" bestFit="1" customWidth="1"/>
    <col min="16" max="256" width="11.44140625" style="287"/>
    <col min="257" max="257" width="21.44140625" style="287" customWidth="1"/>
    <col min="258" max="258" width="17.6640625" style="287" customWidth="1"/>
    <col min="259" max="259" width="14.6640625" style="287" customWidth="1"/>
    <col min="260" max="260" width="13.44140625" style="287" customWidth="1"/>
    <col min="261" max="261" width="11.44140625" style="287" customWidth="1"/>
    <col min="262" max="262" width="19.109375" style="287" customWidth="1"/>
    <col min="263" max="263" width="11.88671875" style="287" customWidth="1"/>
    <col min="264" max="512" width="11.44140625" style="287"/>
    <col min="513" max="513" width="21.44140625" style="287" customWidth="1"/>
    <col min="514" max="514" width="17.6640625" style="287" customWidth="1"/>
    <col min="515" max="515" width="14.6640625" style="287" customWidth="1"/>
    <col min="516" max="516" width="13.44140625" style="287" customWidth="1"/>
    <col min="517" max="517" width="11.44140625" style="287" customWidth="1"/>
    <col min="518" max="518" width="19.109375" style="287" customWidth="1"/>
    <col min="519" max="519" width="11.88671875" style="287" customWidth="1"/>
    <col min="520" max="768" width="11.44140625" style="287"/>
    <col min="769" max="769" width="21.44140625" style="287" customWidth="1"/>
    <col min="770" max="770" width="17.6640625" style="287" customWidth="1"/>
    <col min="771" max="771" width="14.6640625" style="287" customWidth="1"/>
    <col min="772" max="772" width="13.44140625" style="287" customWidth="1"/>
    <col min="773" max="773" width="11.44140625" style="287" customWidth="1"/>
    <col min="774" max="774" width="19.109375" style="287" customWidth="1"/>
    <col min="775" max="775" width="11.88671875" style="287" customWidth="1"/>
    <col min="776" max="1024" width="11.44140625" style="287"/>
    <col min="1025" max="1025" width="21.44140625" style="287" customWidth="1"/>
    <col min="1026" max="1026" width="17.6640625" style="287" customWidth="1"/>
    <col min="1027" max="1027" width="14.6640625" style="287" customWidth="1"/>
    <col min="1028" max="1028" width="13.44140625" style="287" customWidth="1"/>
    <col min="1029" max="1029" width="11.44140625" style="287" customWidth="1"/>
    <col min="1030" max="1030" width="19.109375" style="287" customWidth="1"/>
    <col min="1031" max="1031" width="11.88671875" style="287" customWidth="1"/>
    <col min="1032" max="1280" width="11.44140625" style="287"/>
    <col min="1281" max="1281" width="21.44140625" style="287" customWidth="1"/>
    <col min="1282" max="1282" width="17.6640625" style="287" customWidth="1"/>
    <col min="1283" max="1283" width="14.6640625" style="287" customWidth="1"/>
    <col min="1284" max="1284" width="13.44140625" style="287" customWidth="1"/>
    <col min="1285" max="1285" width="11.44140625" style="287" customWidth="1"/>
    <col min="1286" max="1286" width="19.109375" style="287" customWidth="1"/>
    <col min="1287" max="1287" width="11.88671875" style="287" customWidth="1"/>
    <col min="1288" max="1536" width="11.44140625" style="287"/>
    <col min="1537" max="1537" width="21.44140625" style="287" customWidth="1"/>
    <col min="1538" max="1538" width="17.6640625" style="287" customWidth="1"/>
    <col min="1539" max="1539" width="14.6640625" style="287" customWidth="1"/>
    <col min="1540" max="1540" width="13.44140625" style="287" customWidth="1"/>
    <col min="1541" max="1541" width="11.44140625" style="287" customWidth="1"/>
    <col min="1542" max="1542" width="19.109375" style="287" customWidth="1"/>
    <col min="1543" max="1543" width="11.88671875" style="287" customWidth="1"/>
    <col min="1544" max="1792" width="11.44140625" style="287"/>
    <col min="1793" max="1793" width="21.44140625" style="287" customWidth="1"/>
    <col min="1794" max="1794" width="17.6640625" style="287" customWidth="1"/>
    <col min="1795" max="1795" width="14.6640625" style="287" customWidth="1"/>
    <col min="1796" max="1796" width="13.44140625" style="287" customWidth="1"/>
    <col min="1797" max="1797" width="11.44140625" style="287" customWidth="1"/>
    <col min="1798" max="1798" width="19.109375" style="287" customWidth="1"/>
    <col min="1799" max="1799" width="11.88671875" style="287" customWidth="1"/>
    <col min="1800" max="2048" width="11.44140625" style="287"/>
    <col min="2049" max="2049" width="21.44140625" style="287" customWidth="1"/>
    <col min="2050" max="2050" width="17.6640625" style="287" customWidth="1"/>
    <col min="2051" max="2051" width="14.6640625" style="287" customWidth="1"/>
    <col min="2052" max="2052" width="13.44140625" style="287" customWidth="1"/>
    <col min="2053" max="2053" width="11.44140625" style="287" customWidth="1"/>
    <col min="2054" max="2054" width="19.109375" style="287" customWidth="1"/>
    <col min="2055" max="2055" width="11.88671875" style="287" customWidth="1"/>
    <col min="2056" max="2304" width="11.44140625" style="287"/>
    <col min="2305" max="2305" width="21.44140625" style="287" customWidth="1"/>
    <col min="2306" max="2306" width="17.6640625" style="287" customWidth="1"/>
    <col min="2307" max="2307" width="14.6640625" style="287" customWidth="1"/>
    <col min="2308" max="2308" width="13.44140625" style="287" customWidth="1"/>
    <col min="2309" max="2309" width="11.44140625" style="287" customWidth="1"/>
    <col min="2310" max="2310" width="19.109375" style="287" customWidth="1"/>
    <col min="2311" max="2311" width="11.88671875" style="287" customWidth="1"/>
    <col min="2312" max="2560" width="11.44140625" style="287"/>
    <col min="2561" max="2561" width="21.44140625" style="287" customWidth="1"/>
    <col min="2562" max="2562" width="17.6640625" style="287" customWidth="1"/>
    <col min="2563" max="2563" width="14.6640625" style="287" customWidth="1"/>
    <col min="2564" max="2564" width="13.44140625" style="287" customWidth="1"/>
    <col min="2565" max="2565" width="11.44140625" style="287" customWidth="1"/>
    <col min="2566" max="2566" width="19.109375" style="287" customWidth="1"/>
    <col min="2567" max="2567" width="11.88671875" style="287" customWidth="1"/>
    <col min="2568" max="2816" width="11.44140625" style="287"/>
    <col min="2817" max="2817" width="21.44140625" style="287" customWidth="1"/>
    <col min="2818" max="2818" width="17.6640625" style="287" customWidth="1"/>
    <col min="2819" max="2819" width="14.6640625" style="287" customWidth="1"/>
    <col min="2820" max="2820" width="13.44140625" style="287" customWidth="1"/>
    <col min="2821" max="2821" width="11.44140625" style="287" customWidth="1"/>
    <col min="2822" max="2822" width="19.109375" style="287" customWidth="1"/>
    <col min="2823" max="2823" width="11.88671875" style="287" customWidth="1"/>
    <col min="2824" max="3072" width="11.44140625" style="287"/>
    <col min="3073" max="3073" width="21.44140625" style="287" customWidth="1"/>
    <col min="3074" max="3074" width="17.6640625" style="287" customWidth="1"/>
    <col min="3075" max="3075" width="14.6640625" style="287" customWidth="1"/>
    <col min="3076" max="3076" width="13.44140625" style="287" customWidth="1"/>
    <col min="3077" max="3077" width="11.44140625" style="287" customWidth="1"/>
    <col min="3078" max="3078" width="19.109375" style="287" customWidth="1"/>
    <col min="3079" max="3079" width="11.88671875" style="287" customWidth="1"/>
    <col min="3080" max="3328" width="11.44140625" style="287"/>
    <col min="3329" max="3329" width="21.44140625" style="287" customWidth="1"/>
    <col min="3330" max="3330" width="17.6640625" style="287" customWidth="1"/>
    <col min="3331" max="3331" width="14.6640625" style="287" customWidth="1"/>
    <col min="3332" max="3332" width="13.44140625" style="287" customWidth="1"/>
    <col min="3333" max="3333" width="11.44140625" style="287" customWidth="1"/>
    <col min="3334" max="3334" width="19.109375" style="287" customWidth="1"/>
    <col min="3335" max="3335" width="11.88671875" style="287" customWidth="1"/>
    <col min="3336" max="3584" width="11.44140625" style="287"/>
    <col min="3585" max="3585" width="21.44140625" style="287" customWidth="1"/>
    <col min="3586" max="3586" width="17.6640625" style="287" customWidth="1"/>
    <col min="3587" max="3587" width="14.6640625" style="287" customWidth="1"/>
    <col min="3588" max="3588" width="13.44140625" style="287" customWidth="1"/>
    <col min="3589" max="3589" width="11.44140625" style="287" customWidth="1"/>
    <col min="3590" max="3590" width="19.109375" style="287" customWidth="1"/>
    <col min="3591" max="3591" width="11.88671875" style="287" customWidth="1"/>
    <col min="3592" max="3840" width="11.44140625" style="287"/>
    <col min="3841" max="3841" width="21.44140625" style="287" customWidth="1"/>
    <col min="3842" max="3842" width="17.6640625" style="287" customWidth="1"/>
    <col min="3843" max="3843" width="14.6640625" style="287" customWidth="1"/>
    <col min="3844" max="3844" width="13.44140625" style="287" customWidth="1"/>
    <col min="3845" max="3845" width="11.44140625" style="287" customWidth="1"/>
    <col min="3846" max="3846" width="19.109375" style="287" customWidth="1"/>
    <col min="3847" max="3847" width="11.88671875" style="287" customWidth="1"/>
    <col min="3848" max="4096" width="11.44140625" style="287"/>
    <col min="4097" max="4097" width="21.44140625" style="287" customWidth="1"/>
    <col min="4098" max="4098" width="17.6640625" style="287" customWidth="1"/>
    <col min="4099" max="4099" width="14.6640625" style="287" customWidth="1"/>
    <col min="4100" max="4100" width="13.44140625" style="287" customWidth="1"/>
    <col min="4101" max="4101" width="11.44140625" style="287" customWidth="1"/>
    <col min="4102" max="4102" width="19.109375" style="287" customWidth="1"/>
    <col min="4103" max="4103" width="11.88671875" style="287" customWidth="1"/>
    <col min="4104" max="4352" width="11.44140625" style="287"/>
    <col min="4353" max="4353" width="21.44140625" style="287" customWidth="1"/>
    <col min="4354" max="4354" width="17.6640625" style="287" customWidth="1"/>
    <col min="4355" max="4355" width="14.6640625" style="287" customWidth="1"/>
    <col min="4356" max="4356" width="13.44140625" style="287" customWidth="1"/>
    <col min="4357" max="4357" width="11.44140625" style="287" customWidth="1"/>
    <col min="4358" max="4358" width="19.109375" style="287" customWidth="1"/>
    <col min="4359" max="4359" width="11.88671875" style="287" customWidth="1"/>
    <col min="4360" max="4608" width="11.44140625" style="287"/>
    <col min="4609" max="4609" width="21.44140625" style="287" customWidth="1"/>
    <col min="4610" max="4610" width="17.6640625" style="287" customWidth="1"/>
    <col min="4611" max="4611" width="14.6640625" style="287" customWidth="1"/>
    <col min="4612" max="4612" width="13.44140625" style="287" customWidth="1"/>
    <col min="4613" max="4613" width="11.44140625" style="287" customWidth="1"/>
    <col min="4614" max="4614" width="19.109375" style="287" customWidth="1"/>
    <col min="4615" max="4615" width="11.88671875" style="287" customWidth="1"/>
    <col min="4616" max="4864" width="11.44140625" style="287"/>
    <col min="4865" max="4865" width="21.44140625" style="287" customWidth="1"/>
    <col min="4866" max="4866" width="17.6640625" style="287" customWidth="1"/>
    <col min="4867" max="4867" width="14.6640625" style="287" customWidth="1"/>
    <col min="4868" max="4868" width="13.44140625" style="287" customWidth="1"/>
    <col min="4869" max="4869" width="11.44140625" style="287" customWidth="1"/>
    <col min="4870" max="4870" width="19.109375" style="287" customWidth="1"/>
    <col min="4871" max="4871" width="11.88671875" style="287" customWidth="1"/>
    <col min="4872" max="5120" width="11.44140625" style="287"/>
    <col min="5121" max="5121" width="21.44140625" style="287" customWidth="1"/>
    <col min="5122" max="5122" width="17.6640625" style="287" customWidth="1"/>
    <col min="5123" max="5123" width="14.6640625" style="287" customWidth="1"/>
    <col min="5124" max="5124" width="13.44140625" style="287" customWidth="1"/>
    <col min="5125" max="5125" width="11.44140625" style="287" customWidth="1"/>
    <col min="5126" max="5126" width="19.109375" style="287" customWidth="1"/>
    <col min="5127" max="5127" width="11.88671875" style="287" customWidth="1"/>
    <col min="5128" max="5376" width="11.44140625" style="287"/>
    <col min="5377" max="5377" width="21.44140625" style="287" customWidth="1"/>
    <col min="5378" max="5378" width="17.6640625" style="287" customWidth="1"/>
    <col min="5379" max="5379" width="14.6640625" style="287" customWidth="1"/>
    <col min="5380" max="5380" width="13.44140625" style="287" customWidth="1"/>
    <col min="5381" max="5381" width="11.44140625" style="287" customWidth="1"/>
    <col min="5382" max="5382" width="19.109375" style="287" customWidth="1"/>
    <col min="5383" max="5383" width="11.88671875" style="287" customWidth="1"/>
    <col min="5384" max="5632" width="11.44140625" style="287"/>
    <col min="5633" max="5633" width="21.44140625" style="287" customWidth="1"/>
    <col min="5634" max="5634" width="17.6640625" style="287" customWidth="1"/>
    <col min="5635" max="5635" width="14.6640625" style="287" customWidth="1"/>
    <col min="5636" max="5636" width="13.44140625" style="287" customWidth="1"/>
    <col min="5637" max="5637" width="11.44140625" style="287" customWidth="1"/>
    <col min="5638" max="5638" width="19.109375" style="287" customWidth="1"/>
    <col min="5639" max="5639" width="11.88671875" style="287" customWidth="1"/>
    <col min="5640" max="5888" width="11.44140625" style="287"/>
    <col min="5889" max="5889" width="21.44140625" style="287" customWidth="1"/>
    <col min="5890" max="5890" width="17.6640625" style="287" customWidth="1"/>
    <col min="5891" max="5891" width="14.6640625" style="287" customWidth="1"/>
    <col min="5892" max="5892" width="13.44140625" style="287" customWidth="1"/>
    <col min="5893" max="5893" width="11.44140625" style="287" customWidth="1"/>
    <col min="5894" max="5894" width="19.109375" style="287" customWidth="1"/>
    <col min="5895" max="5895" width="11.88671875" style="287" customWidth="1"/>
    <col min="5896" max="6144" width="11.44140625" style="287"/>
    <col min="6145" max="6145" width="21.44140625" style="287" customWidth="1"/>
    <col min="6146" max="6146" width="17.6640625" style="287" customWidth="1"/>
    <col min="6147" max="6147" width="14.6640625" style="287" customWidth="1"/>
    <col min="6148" max="6148" width="13.44140625" style="287" customWidth="1"/>
    <col min="6149" max="6149" width="11.44140625" style="287" customWidth="1"/>
    <col min="6150" max="6150" width="19.109375" style="287" customWidth="1"/>
    <col min="6151" max="6151" width="11.88671875" style="287" customWidth="1"/>
    <col min="6152" max="6400" width="11.44140625" style="287"/>
    <col min="6401" max="6401" width="21.44140625" style="287" customWidth="1"/>
    <col min="6402" max="6402" width="17.6640625" style="287" customWidth="1"/>
    <col min="6403" max="6403" width="14.6640625" style="287" customWidth="1"/>
    <col min="6404" max="6404" width="13.44140625" style="287" customWidth="1"/>
    <col min="6405" max="6405" width="11.44140625" style="287" customWidth="1"/>
    <col min="6406" max="6406" width="19.109375" style="287" customWidth="1"/>
    <col min="6407" max="6407" width="11.88671875" style="287" customWidth="1"/>
    <col min="6408" max="6656" width="11.44140625" style="287"/>
    <col min="6657" max="6657" width="21.44140625" style="287" customWidth="1"/>
    <col min="6658" max="6658" width="17.6640625" style="287" customWidth="1"/>
    <col min="6659" max="6659" width="14.6640625" style="287" customWidth="1"/>
    <col min="6660" max="6660" width="13.44140625" style="287" customWidth="1"/>
    <col min="6661" max="6661" width="11.44140625" style="287" customWidth="1"/>
    <col min="6662" max="6662" width="19.109375" style="287" customWidth="1"/>
    <col min="6663" max="6663" width="11.88671875" style="287" customWidth="1"/>
    <col min="6664" max="6912" width="11.44140625" style="287"/>
    <col min="6913" max="6913" width="21.44140625" style="287" customWidth="1"/>
    <col min="6914" max="6914" width="17.6640625" style="287" customWidth="1"/>
    <col min="6915" max="6915" width="14.6640625" style="287" customWidth="1"/>
    <col min="6916" max="6916" width="13.44140625" style="287" customWidth="1"/>
    <col min="6917" max="6917" width="11.44140625" style="287" customWidth="1"/>
    <col min="6918" max="6918" width="19.109375" style="287" customWidth="1"/>
    <col min="6919" max="6919" width="11.88671875" style="287" customWidth="1"/>
    <col min="6920" max="7168" width="11.44140625" style="287"/>
    <col min="7169" max="7169" width="21.44140625" style="287" customWidth="1"/>
    <col min="7170" max="7170" width="17.6640625" style="287" customWidth="1"/>
    <col min="7171" max="7171" width="14.6640625" style="287" customWidth="1"/>
    <col min="7172" max="7172" width="13.44140625" style="287" customWidth="1"/>
    <col min="7173" max="7173" width="11.44140625" style="287" customWidth="1"/>
    <col min="7174" max="7174" width="19.109375" style="287" customWidth="1"/>
    <col min="7175" max="7175" width="11.88671875" style="287" customWidth="1"/>
    <col min="7176" max="7424" width="11.44140625" style="287"/>
    <col min="7425" max="7425" width="21.44140625" style="287" customWidth="1"/>
    <col min="7426" max="7426" width="17.6640625" style="287" customWidth="1"/>
    <col min="7427" max="7427" width="14.6640625" style="287" customWidth="1"/>
    <col min="7428" max="7428" width="13.44140625" style="287" customWidth="1"/>
    <col min="7429" max="7429" width="11.44140625" style="287" customWidth="1"/>
    <col min="7430" max="7430" width="19.109375" style="287" customWidth="1"/>
    <col min="7431" max="7431" width="11.88671875" style="287" customWidth="1"/>
    <col min="7432" max="7680" width="11.44140625" style="287"/>
    <col min="7681" max="7681" width="21.44140625" style="287" customWidth="1"/>
    <col min="7682" max="7682" width="17.6640625" style="287" customWidth="1"/>
    <col min="7683" max="7683" width="14.6640625" style="287" customWidth="1"/>
    <col min="7684" max="7684" width="13.44140625" style="287" customWidth="1"/>
    <col min="7685" max="7685" width="11.44140625" style="287" customWidth="1"/>
    <col min="7686" max="7686" width="19.109375" style="287" customWidth="1"/>
    <col min="7687" max="7687" width="11.88671875" style="287" customWidth="1"/>
    <col min="7688" max="7936" width="11.44140625" style="287"/>
    <col min="7937" max="7937" width="21.44140625" style="287" customWidth="1"/>
    <col min="7938" max="7938" width="17.6640625" style="287" customWidth="1"/>
    <col min="7939" max="7939" width="14.6640625" style="287" customWidth="1"/>
    <col min="7940" max="7940" width="13.44140625" style="287" customWidth="1"/>
    <col min="7941" max="7941" width="11.44140625" style="287" customWidth="1"/>
    <col min="7942" max="7942" width="19.109375" style="287" customWidth="1"/>
    <col min="7943" max="7943" width="11.88671875" style="287" customWidth="1"/>
    <col min="7944" max="8192" width="11.44140625" style="287"/>
    <col min="8193" max="8193" width="21.44140625" style="287" customWidth="1"/>
    <col min="8194" max="8194" width="17.6640625" style="287" customWidth="1"/>
    <col min="8195" max="8195" width="14.6640625" style="287" customWidth="1"/>
    <col min="8196" max="8196" width="13.44140625" style="287" customWidth="1"/>
    <col min="8197" max="8197" width="11.44140625" style="287" customWidth="1"/>
    <col min="8198" max="8198" width="19.109375" style="287" customWidth="1"/>
    <col min="8199" max="8199" width="11.88671875" style="287" customWidth="1"/>
    <col min="8200" max="8448" width="11.44140625" style="287"/>
    <col min="8449" max="8449" width="21.44140625" style="287" customWidth="1"/>
    <col min="8450" max="8450" width="17.6640625" style="287" customWidth="1"/>
    <col min="8451" max="8451" width="14.6640625" style="287" customWidth="1"/>
    <col min="8452" max="8452" width="13.44140625" style="287" customWidth="1"/>
    <col min="8453" max="8453" width="11.44140625" style="287" customWidth="1"/>
    <col min="8454" max="8454" width="19.109375" style="287" customWidth="1"/>
    <col min="8455" max="8455" width="11.88671875" style="287" customWidth="1"/>
    <col min="8456" max="8704" width="11.44140625" style="287"/>
    <col min="8705" max="8705" width="21.44140625" style="287" customWidth="1"/>
    <col min="8706" max="8706" width="17.6640625" style="287" customWidth="1"/>
    <col min="8707" max="8707" width="14.6640625" style="287" customWidth="1"/>
    <col min="8708" max="8708" width="13.44140625" style="287" customWidth="1"/>
    <col min="8709" max="8709" width="11.44140625" style="287" customWidth="1"/>
    <col min="8710" max="8710" width="19.109375" style="287" customWidth="1"/>
    <col min="8711" max="8711" width="11.88671875" style="287" customWidth="1"/>
    <col min="8712" max="8960" width="11.44140625" style="287"/>
    <col min="8961" max="8961" width="21.44140625" style="287" customWidth="1"/>
    <col min="8962" max="8962" width="17.6640625" style="287" customWidth="1"/>
    <col min="8963" max="8963" width="14.6640625" style="287" customWidth="1"/>
    <col min="8964" max="8964" width="13.44140625" style="287" customWidth="1"/>
    <col min="8965" max="8965" width="11.44140625" style="287" customWidth="1"/>
    <col min="8966" max="8966" width="19.109375" style="287" customWidth="1"/>
    <col min="8967" max="8967" width="11.88671875" style="287" customWidth="1"/>
    <col min="8968" max="9216" width="11.44140625" style="287"/>
    <col min="9217" max="9217" width="21.44140625" style="287" customWidth="1"/>
    <col min="9218" max="9218" width="17.6640625" style="287" customWidth="1"/>
    <col min="9219" max="9219" width="14.6640625" style="287" customWidth="1"/>
    <col min="9220" max="9220" width="13.44140625" style="287" customWidth="1"/>
    <col min="9221" max="9221" width="11.44140625" style="287" customWidth="1"/>
    <col min="9222" max="9222" width="19.109375" style="287" customWidth="1"/>
    <col min="9223" max="9223" width="11.88671875" style="287" customWidth="1"/>
    <col min="9224" max="9472" width="11.44140625" style="287"/>
    <col min="9473" max="9473" width="21.44140625" style="287" customWidth="1"/>
    <col min="9474" max="9474" width="17.6640625" style="287" customWidth="1"/>
    <col min="9475" max="9475" width="14.6640625" style="287" customWidth="1"/>
    <col min="9476" max="9476" width="13.44140625" style="287" customWidth="1"/>
    <col min="9477" max="9477" width="11.44140625" style="287" customWidth="1"/>
    <col min="9478" max="9478" width="19.109375" style="287" customWidth="1"/>
    <col min="9479" max="9479" width="11.88671875" style="287" customWidth="1"/>
    <col min="9480" max="9728" width="11.44140625" style="287"/>
    <col min="9729" max="9729" width="21.44140625" style="287" customWidth="1"/>
    <col min="9730" max="9730" width="17.6640625" style="287" customWidth="1"/>
    <col min="9731" max="9731" width="14.6640625" style="287" customWidth="1"/>
    <col min="9732" max="9732" width="13.44140625" style="287" customWidth="1"/>
    <col min="9733" max="9733" width="11.44140625" style="287" customWidth="1"/>
    <col min="9734" max="9734" width="19.109375" style="287" customWidth="1"/>
    <col min="9735" max="9735" width="11.88671875" style="287" customWidth="1"/>
    <col min="9736" max="9984" width="11.44140625" style="287"/>
    <col min="9985" max="9985" width="21.44140625" style="287" customWidth="1"/>
    <col min="9986" max="9986" width="17.6640625" style="287" customWidth="1"/>
    <col min="9987" max="9987" width="14.6640625" style="287" customWidth="1"/>
    <col min="9988" max="9988" width="13.44140625" style="287" customWidth="1"/>
    <col min="9989" max="9989" width="11.44140625" style="287" customWidth="1"/>
    <col min="9990" max="9990" width="19.109375" style="287" customWidth="1"/>
    <col min="9991" max="9991" width="11.88671875" style="287" customWidth="1"/>
    <col min="9992" max="10240" width="11.44140625" style="287"/>
    <col min="10241" max="10241" width="21.44140625" style="287" customWidth="1"/>
    <col min="10242" max="10242" width="17.6640625" style="287" customWidth="1"/>
    <col min="10243" max="10243" width="14.6640625" style="287" customWidth="1"/>
    <col min="10244" max="10244" width="13.44140625" style="287" customWidth="1"/>
    <col min="10245" max="10245" width="11.44140625" style="287" customWidth="1"/>
    <col min="10246" max="10246" width="19.109375" style="287" customWidth="1"/>
    <col min="10247" max="10247" width="11.88671875" style="287" customWidth="1"/>
    <col min="10248" max="10496" width="11.44140625" style="287"/>
    <col min="10497" max="10497" width="21.44140625" style="287" customWidth="1"/>
    <col min="10498" max="10498" width="17.6640625" style="287" customWidth="1"/>
    <col min="10499" max="10499" width="14.6640625" style="287" customWidth="1"/>
    <col min="10500" max="10500" width="13.44140625" style="287" customWidth="1"/>
    <col min="10501" max="10501" width="11.44140625" style="287" customWidth="1"/>
    <col min="10502" max="10502" width="19.109375" style="287" customWidth="1"/>
    <col min="10503" max="10503" width="11.88671875" style="287" customWidth="1"/>
    <col min="10504" max="10752" width="11.44140625" style="287"/>
    <col min="10753" max="10753" width="21.44140625" style="287" customWidth="1"/>
    <col min="10754" max="10754" width="17.6640625" style="287" customWidth="1"/>
    <col min="10755" max="10755" width="14.6640625" style="287" customWidth="1"/>
    <col min="10756" max="10756" width="13.44140625" style="287" customWidth="1"/>
    <col min="10757" max="10757" width="11.44140625" style="287" customWidth="1"/>
    <col min="10758" max="10758" width="19.109375" style="287" customWidth="1"/>
    <col min="10759" max="10759" width="11.88671875" style="287" customWidth="1"/>
    <col min="10760" max="11008" width="11.44140625" style="287"/>
    <col min="11009" max="11009" width="21.44140625" style="287" customWidth="1"/>
    <col min="11010" max="11010" width="17.6640625" style="287" customWidth="1"/>
    <col min="11011" max="11011" width="14.6640625" style="287" customWidth="1"/>
    <col min="11012" max="11012" width="13.44140625" style="287" customWidth="1"/>
    <col min="11013" max="11013" width="11.44140625" style="287" customWidth="1"/>
    <col min="11014" max="11014" width="19.109375" style="287" customWidth="1"/>
    <col min="11015" max="11015" width="11.88671875" style="287" customWidth="1"/>
    <col min="11016" max="11264" width="11.44140625" style="287"/>
    <col min="11265" max="11265" width="21.44140625" style="287" customWidth="1"/>
    <col min="11266" max="11266" width="17.6640625" style="287" customWidth="1"/>
    <col min="11267" max="11267" width="14.6640625" style="287" customWidth="1"/>
    <col min="11268" max="11268" width="13.44140625" style="287" customWidth="1"/>
    <col min="11269" max="11269" width="11.44140625" style="287" customWidth="1"/>
    <col min="11270" max="11270" width="19.109375" style="287" customWidth="1"/>
    <col min="11271" max="11271" width="11.88671875" style="287" customWidth="1"/>
    <col min="11272" max="11520" width="11.44140625" style="287"/>
    <col min="11521" max="11521" width="21.44140625" style="287" customWidth="1"/>
    <col min="11522" max="11522" width="17.6640625" style="287" customWidth="1"/>
    <col min="11523" max="11523" width="14.6640625" style="287" customWidth="1"/>
    <col min="11524" max="11524" width="13.44140625" style="287" customWidth="1"/>
    <col min="11525" max="11525" width="11.44140625" style="287" customWidth="1"/>
    <col min="11526" max="11526" width="19.109375" style="287" customWidth="1"/>
    <col min="11527" max="11527" width="11.88671875" style="287" customWidth="1"/>
    <col min="11528" max="11776" width="11.44140625" style="287"/>
    <col min="11777" max="11777" width="21.44140625" style="287" customWidth="1"/>
    <col min="11778" max="11778" width="17.6640625" style="287" customWidth="1"/>
    <col min="11779" max="11779" width="14.6640625" style="287" customWidth="1"/>
    <col min="11780" max="11780" width="13.44140625" style="287" customWidth="1"/>
    <col min="11781" max="11781" width="11.44140625" style="287" customWidth="1"/>
    <col min="11782" max="11782" width="19.109375" style="287" customWidth="1"/>
    <col min="11783" max="11783" width="11.88671875" style="287" customWidth="1"/>
    <col min="11784" max="12032" width="11.44140625" style="287"/>
    <col min="12033" max="12033" width="21.44140625" style="287" customWidth="1"/>
    <col min="12034" max="12034" width="17.6640625" style="287" customWidth="1"/>
    <col min="12035" max="12035" width="14.6640625" style="287" customWidth="1"/>
    <col min="12036" max="12036" width="13.44140625" style="287" customWidth="1"/>
    <col min="12037" max="12037" width="11.44140625" style="287" customWidth="1"/>
    <col min="12038" max="12038" width="19.109375" style="287" customWidth="1"/>
    <col min="12039" max="12039" width="11.88671875" style="287" customWidth="1"/>
    <col min="12040" max="12288" width="11.44140625" style="287"/>
    <col min="12289" max="12289" width="21.44140625" style="287" customWidth="1"/>
    <col min="12290" max="12290" width="17.6640625" style="287" customWidth="1"/>
    <col min="12291" max="12291" width="14.6640625" style="287" customWidth="1"/>
    <col min="12292" max="12292" width="13.44140625" style="287" customWidth="1"/>
    <col min="12293" max="12293" width="11.44140625" style="287" customWidth="1"/>
    <col min="12294" max="12294" width="19.109375" style="287" customWidth="1"/>
    <col min="12295" max="12295" width="11.88671875" style="287" customWidth="1"/>
    <col min="12296" max="12544" width="11.44140625" style="287"/>
    <col min="12545" max="12545" width="21.44140625" style="287" customWidth="1"/>
    <col min="12546" max="12546" width="17.6640625" style="287" customWidth="1"/>
    <col min="12547" max="12547" width="14.6640625" style="287" customWidth="1"/>
    <col min="12548" max="12548" width="13.44140625" style="287" customWidth="1"/>
    <col min="12549" max="12549" width="11.44140625" style="287" customWidth="1"/>
    <col min="12550" max="12550" width="19.109375" style="287" customWidth="1"/>
    <col min="12551" max="12551" width="11.88671875" style="287" customWidth="1"/>
    <col min="12552" max="12800" width="11.44140625" style="287"/>
    <col min="12801" max="12801" width="21.44140625" style="287" customWidth="1"/>
    <col min="12802" max="12802" width="17.6640625" style="287" customWidth="1"/>
    <col min="12803" max="12803" width="14.6640625" style="287" customWidth="1"/>
    <col min="12804" max="12804" width="13.44140625" style="287" customWidth="1"/>
    <col min="12805" max="12805" width="11.44140625" style="287" customWidth="1"/>
    <col min="12806" max="12806" width="19.109375" style="287" customWidth="1"/>
    <col min="12807" max="12807" width="11.88671875" style="287" customWidth="1"/>
    <col min="12808" max="13056" width="11.44140625" style="287"/>
    <col min="13057" max="13057" width="21.44140625" style="287" customWidth="1"/>
    <col min="13058" max="13058" width="17.6640625" style="287" customWidth="1"/>
    <col min="13059" max="13059" width="14.6640625" style="287" customWidth="1"/>
    <col min="13060" max="13060" width="13.44140625" style="287" customWidth="1"/>
    <col min="13061" max="13061" width="11.44140625" style="287" customWidth="1"/>
    <col min="13062" max="13062" width="19.109375" style="287" customWidth="1"/>
    <col min="13063" max="13063" width="11.88671875" style="287" customWidth="1"/>
    <col min="13064" max="13312" width="11.44140625" style="287"/>
    <col min="13313" max="13313" width="21.44140625" style="287" customWidth="1"/>
    <col min="13314" max="13314" width="17.6640625" style="287" customWidth="1"/>
    <col min="13315" max="13315" width="14.6640625" style="287" customWidth="1"/>
    <col min="13316" max="13316" width="13.44140625" style="287" customWidth="1"/>
    <col min="13317" max="13317" width="11.44140625" style="287" customWidth="1"/>
    <col min="13318" max="13318" width="19.109375" style="287" customWidth="1"/>
    <col min="13319" max="13319" width="11.88671875" style="287" customWidth="1"/>
    <col min="13320" max="13568" width="11.44140625" style="287"/>
    <col min="13569" max="13569" width="21.44140625" style="287" customWidth="1"/>
    <col min="13570" max="13570" width="17.6640625" style="287" customWidth="1"/>
    <col min="13571" max="13571" width="14.6640625" style="287" customWidth="1"/>
    <col min="13572" max="13572" width="13.44140625" style="287" customWidth="1"/>
    <col min="13573" max="13573" width="11.44140625" style="287" customWidth="1"/>
    <col min="13574" max="13574" width="19.109375" style="287" customWidth="1"/>
    <col min="13575" max="13575" width="11.88671875" style="287" customWidth="1"/>
    <col min="13576" max="13824" width="11.44140625" style="287"/>
    <col min="13825" max="13825" width="21.44140625" style="287" customWidth="1"/>
    <col min="13826" max="13826" width="17.6640625" style="287" customWidth="1"/>
    <col min="13827" max="13827" width="14.6640625" style="287" customWidth="1"/>
    <col min="13828" max="13828" width="13.44140625" style="287" customWidth="1"/>
    <col min="13829" max="13829" width="11.44140625" style="287" customWidth="1"/>
    <col min="13830" max="13830" width="19.109375" style="287" customWidth="1"/>
    <col min="13831" max="13831" width="11.88671875" style="287" customWidth="1"/>
    <col min="13832" max="14080" width="11.44140625" style="287"/>
    <col min="14081" max="14081" width="21.44140625" style="287" customWidth="1"/>
    <col min="14082" max="14082" width="17.6640625" style="287" customWidth="1"/>
    <col min="14083" max="14083" width="14.6640625" style="287" customWidth="1"/>
    <col min="14084" max="14084" width="13.44140625" style="287" customWidth="1"/>
    <col min="14085" max="14085" width="11.44140625" style="287" customWidth="1"/>
    <col min="14086" max="14086" width="19.109375" style="287" customWidth="1"/>
    <col min="14087" max="14087" width="11.88671875" style="287" customWidth="1"/>
    <col min="14088" max="14336" width="11.44140625" style="287"/>
    <col min="14337" max="14337" width="21.44140625" style="287" customWidth="1"/>
    <col min="14338" max="14338" width="17.6640625" style="287" customWidth="1"/>
    <col min="14339" max="14339" width="14.6640625" style="287" customWidth="1"/>
    <col min="14340" max="14340" width="13.44140625" style="287" customWidth="1"/>
    <col min="14341" max="14341" width="11.44140625" style="287" customWidth="1"/>
    <col min="14342" max="14342" width="19.109375" style="287" customWidth="1"/>
    <col min="14343" max="14343" width="11.88671875" style="287" customWidth="1"/>
    <col min="14344" max="14592" width="11.44140625" style="287"/>
    <col min="14593" max="14593" width="21.44140625" style="287" customWidth="1"/>
    <col min="14594" max="14594" width="17.6640625" style="287" customWidth="1"/>
    <col min="14595" max="14595" width="14.6640625" style="287" customWidth="1"/>
    <col min="14596" max="14596" width="13.44140625" style="287" customWidth="1"/>
    <col min="14597" max="14597" width="11.44140625" style="287" customWidth="1"/>
    <col min="14598" max="14598" width="19.109375" style="287" customWidth="1"/>
    <col min="14599" max="14599" width="11.88671875" style="287" customWidth="1"/>
    <col min="14600" max="14848" width="11.44140625" style="287"/>
    <col min="14849" max="14849" width="21.44140625" style="287" customWidth="1"/>
    <col min="14850" max="14850" width="17.6640625" style="287" customWidth="1"/>
    <col min="14851" max="14851" width="14.6640625" style="287" customWidth="1"/>
    <col min="14852" max="14852" width="13.44140625" style="287" customWidth="1"/>
    <col min="14853" max="14853" width="11.44140625" style="287" customWidth="1"/>
    <col min="14854" max="14854" width="19.109375" style="287" customWidth="1"/>
    <col min="14855" max="14855" width="11.88671875" style="287" customWidth="1"/>
    <col min="14856" max="15104" width="11.44140625" style="287"/>
    <col min="15105" max="15105" width="21.44140625" style="287" customWidth="1"/>
    <col min="15106" max="15106" width="17.6640625" style="287" customWidth="1"/>
    <col min="15107" max="15107" width="14.6640625" style="287" customWidth="1"/>
    <col min="15108" max="15108" width="13.44140625" style="287" customWidth="1"/>
    <col min="15109" max="15109" width="11.44140625" style="287" customWidth="1"/>
    <col min="15110" max="15110" width="19.109375" style="287" customWidth="1"/>
    <col min="15111" max="15111" width="11.88671875" style="287" customWidth="1"/>
    <col min="15112" max="15360" width="11.44140625" style="287"/>
    <col min="15361" max="15361" width="21.44140625" style="287" customWidth="1"/>
    <col min="15362" max="15362" width="17.6640625" style="287" customWidth="1"/>
    <col min="15363" max="15363" width="14.6640625" style="287" customWidth="1"/>
    <col min="15364" max="15364" width="13.44140625" style="287" customWidth="1"/>
    <col min="15365" max="15365" width="11.44140625" style="287" customWidth="1"/>
    <col min="15366" max="15366" width="19.109375" style="287" customWidth="1"/>
    <col min="15367" max="15367" width="11.88671875" style="287" customWidth="1"/>
    <col min="15368" max="15616" width="11.44140625" style="287"/>
    <col min="15617" max="15617" width="21.44140625" style="287" customWidth="1"/>
    <col min="15618" max="15618" width="17.6640625" style="287" customWidth="1"/>
    <col min="15619" max="15619" width="14.6640625" style="287" customWidth="1"/>
    <col min="15620" max="15620" width="13.44140625" style="287" customWidth="1"/>
    <col min="15621" max="15621" width="11.44140625" style="287" customWidth="1"/>
    <col min="15622" max="15622" width="19.109375" style="287" customWidth="1"/>
    <col min="15623" max="15623" width="11.88671875" style="287" customWidth="1"/>
    <col min="15624" max="15872" width="11.44140625" style="287"/>
    <col min="15873" max="15873" width="21.44140625" style="287" customWidth="1"/>
    <col min="15874" max="15874" width="17.6640625" style="287" customWidth="1"/>
    <col min="15875" max="15875" width="14.6640625" style="287" customWidth="1"/>
    <col min="15876" max="15876" width="13.44140625" style="287" customWidth="1"/>
    <col min="15877" max="15877" width="11.44140625" style="287" customWidth="1"/>
    <col min="15878" max="15878" width="19.109375" style="287" customWidth="1"/>
    <col min="15879" max="15879" width="11.88671875" style="287" customWidth="1"/>
    <col min="15880" max="16128" width="11.44140625" style="287"/>
    <col min="16129" max="16129" width="21.44140625" style="287" customWidth="1"/>
    <col min="16130" max="16130" width="17.6640625" style="287" customWidth="1"/>
    <col min="16131" max="16131" width="14.6640625" style="287" customWidth="1"/>
    <col min="16132" max="16132" width="13.44140625" style="287" customWidth="1"/>
    <col min="16133" max="16133" width="11.44140625" style="287" customWidth="1"/>
    <col min="16134" max="16134" width="19.109375" style="287" customWidth="1"/>
    <col min="16135" max="16135" width="11.88671875" style="287" customWidth="1"/>
    <col min="16136" max="16384" width="11.44140625" style="287"/>
  </cols>
  <sheetData>
    <row r="1" spans="1:19" s="284" customFormat="1" ht="54" customHeight="1" x14ac:dyDescent="0.4">
      <c r="A1" s="734" t="s">
        <v>324</v>
      </c>
      <c r="B1" s="734"/>
      <c r="C1" s="734"/>
      <c r="D1" s="734"/>
      <c r="E1" s="734"/>
      <c r="F1" s="283"/>
    </row>
    <row r="2" spans="1:19" s="284" customFormat="1" ht="19.5" customHeight="1" x14ac:dyDescent="0.4">
      <c r="A2" s="735" t="s">
        <v>325</v>
      </c>
      <c r="B2" s="735"/>
      <c r="C2" s="735"/>
      <c r="D2" s="735"/>
      <c r="E2" s="735"/>
      <c r="F2" s="735"/>
      <c r="G2" s="735"/>
    </row>
    <row r="3" spans="1:19" s="288" customFormat="1" ht="19.5" customHeight="1" x14ac:dyDescent="0.4">
      <c r="A3" s="735"/>
      <c r="B3" s="735"/>
      <c r="C3" s="735"/>
      <c r="D3" s="735"/>
      <c r="E3" s="735"/>
      <c r="F3" s="735"/>
      <c r="G3" s="735"/>
      <c r="H3" s="285"/>
      <c r="I3" s="286"/>
      <c r="J3" s="286"/>
      <c r="K3" s="286"/>
      <c r="L3" s="284"/>
      <c r="M3" s="284"/>
      <c r="N3" s="284"/>
      <c r="O3" s="287"/>
      <c r="P3" s="287"/>
      <c r="Q3" s="287"/>
      <c r="R3" s="287"/>
    </row>
    <row r="4" spans="1:19" s="284" customFormat="1" ht="16.5" customHeight="1" x14ac:dyDescent="0.4">
      <c r="A4" s="631"/>
      <c r="B4" s="631"/>
      <c r="C4" s="631"/>
      <c r="D4" s="631"/>
      <c r="E4" s="631"/>
      <c r="F4" s="631"/>
      <c r="H4" s="286"/>
      <c r="I4" s="286"/>
      <c r="J4" s="286"/>
      <c r="K4" s="286"/>
      <c r="O4" s="287"/>
      <c r="P4" s="287"/>
      <c r="Q4" s="287"/>
      <c r="R4" s="287"/>
    </row>
    <row r="5" spans="1:19" s="284" customFormat="1" ht="16.5" customHeight="1" x14ac:dyDescent="0.4">
      <c r="D5" s="289" t="s">
        <v>23</v>
      </c>
      <c r="E5" s="289" t="s">
        <v>41</v>
      </c>
      <c r="F5" s="289" t="s">
        <v>155</v>
      </c>
      <c r="G5" s="286"/>
      <c r="H5" s="286"/>
      <c r="I5" s="286"/>
      <c r="J5" s="286"/>
      <c r="K5" s="286"/>
      <c r="L5" s="286"/>
      <c r="M5" s="286"/>
      <c r="O5" s="287"/>
      <c r="P5" s="287"/>
      <c r="Q5" s="287"/>
      <c r="R5" s="287"/>
    </row>
    <row r="6" spans="1:19" s="284" customFormat="1" ht="21" customHeight="1" x14ac:dyDescent="0.4">
      <c r="A6" s="736" t="s">
        <v>326</v>
      </c>
      <c r="B6" s="737"/>
      <c r="C6" s="290"/>
      <c r="D6" s="291" t="s">
        <v>327</v>
      </c>
      <c r="E6" s="291" t="s">
        <v>327</v>
      </c>
      <c r="F6" s="292">
        <f>IF(OR(D6="",D6="tt.mm.jj"),0,E6-D6+1)</f>
        <v>0</v>
      </c>
      <c r="G6" s="293">
        <f>+F6-1</f>
        <v>-1</v>
      </c>
      <c r="H6" s="294"/>
      <c r="I6" s="294"/>
      <c r="J6" s="294"/>
      <c r="K6" s="286"/>
      <c r="L6" s="286"/>
      <c r="M6" s="286"/>
      <c r="N6" s="286"/>
      <c r="O6" s="295"/>
      <c r="P6" s="287"/>
      <c r="Q6" s="287"/>
      <c r="R6" s="287"/>
    </row>
    <row r="7" spans="1:19" s="284" customFormat="1" ht="16.5" customHeight="1" x14ac:dyDescent="0.4">
      <c r="A7" s="296"/>
      <c r="B7" s="296"/>
      <c r="D7" s="296"/>
      <c r="E7" s="289" t="s">
        <v>272</v>
      </c>
      <c r="F7" s="297" t="s">
        <v>328</v>
      </c>
      <c r="G7" s="294"/>
      <c r="H7" s="294"/>
      <c r="I7" s="294"/>
      <c r="J7" s="294"/>
      <c r="K7" s="286"/>
      <c r="L7" s="286"/>
      <c r="M7" s="286"/>
      <c r="N7" s="286"/>
      <c r="O7" s="295"/>
      <c r="P7" s="287"/>
      <c r="Q7" s="287"/>
      <c r="R7" s="287"/>
    </row>
    <row r="8" spans="1:19" s="284" customFormat="1" ht="21" customHeight="1" x14ac:dyDescent="0.4">
      <c r="A8" s="736" t="s">
        <v>329</v>
      </c>
      <c r="B8" s="737"/>
      <c r="C8" s="290"/>
      <c r="D8" s="298"/>
      <c r="E8" s="299">
        <f>IF(D8=0,0,I9)</f>
        <v>0</v>
      </c>
      <c r="F8" s="298"/>
      <c r="G8" s="294"/>
      <c r="H8" s="294"/>
      <c r="I8" s="300" t="s">
        <v>330</v>
      </c>
      <c r="J8" s="301"/>
      <c r="K8" s="295"/>
      <c r="L8" s="295"/>
      <c r="M8" s="295"/>
      <c r="N8" s="295"/>
      <c r="O8" s="295"/>
      <c r="P8" s="295"/>
      <c r="Q8" s="295"/>
      <c r="R8" s="295"/>
      <c r="S8" s="286"/>
    </row>
    <row r="9" spans="1:19" s="284" customFormat="1" ht="15.75" customHeight="1" x14ac:dyDescent="0.4">
      <c r="A9" s="302"/>
      <c r="B9" s="303"/>
      <c r="D9" s="296"/>
      <c r="E9" s="289" t="s">
        <v>331</v>
      </c>
      <c r="F9" s="289" t="s">
        <v>332</v>
      </c>
      <c r="G9" s="294"/>
      <c r="H9" s="294"/>
      <c r="I9" s="301" t="str">
        <f>IF(D8&gt;60,10,IF(D8&gt;54,9,IF(D8&gt;47,8,IF(D8&gt;39,7,IF(D8&gt;31,6,IF(D8&gt;23,5,IF(D8&gt;18,4,"kein Lager")))))))</f>
        <v>kein Lager</v>
      </c>
      <c r="J9" s="301" t="s">
        <v>217</v>
      </c>
      <c r="K9" s="286"/>
      <c r="L9" s="286"/>
      <c r="M9" s="286"/>
      <c r="N9" s="286"/>
      <c r="O9" s="295"/>
      <c r="P9" s="295"/>
      <c r="Q9" s="295"/>
      <c r="R9" s="295"/>
      <c r="S9" s="286"/>
    </row>
    <row r="10" spans="1:19" s="284" customFormat="1" ht="21" customHeight="1" x14ac:dyDescent="0.4">
      <c r="A10" s="304" t="s">
        <v>333</v>
      </c>
      <c r="B10" s="290"/>
      <c r="C10" s="305" t="s">
        <v>334</v>
      </c>
      <c r="D10" s="298"/>
      <c r="E10" s="299">
        <f>IF(OR(D8=0,D10="P"),0,+I10)</f>
        <v>0</v>
      </c>
      <c r="F10" s="299">
        <f>IFERROR(IF(OR(D8=0,D10=0),0,IF(D10="P",I9,I9+I10)),0)</f>
        <v>0</v>
      </c>
      <c r="G10" s="294"/>
      <c r="H10" s="294"/>
      <c r="I10" s="301" t="str">
        <f>IF(D8&gt;41,3,IF(D8&gt;23,2,IF(D8&lt;19,"kein Lager",1)))</f>
        <v>kein Lager</v>
      </c>
      <c r="J10" s="301" t="s">
        <v>218</v>
      </c>
      <c r="K10" s="286"/>
      <c r="L10" s="286"/>
      <c r="M10" s="286"/>
      <c r="N10" s="286"/>
      <c r="O10" s="295"/>
      <c r="P10" s="295"/>
      <c r="Q10" s="295"/>
      <c r="R10" s="295"/>
      <c r="S10" s="286"/>
    </row>
    <row r="11" spans="1:19" s="284" customFormat="1" ht="16.5" customHeight="1" x14ac:dyDescent="0.4">
      <c r="A11" s="296"/>
      <c r="B11" s="296"/>
      <c r="C11" s="296"/>
      <c r="D11" s="296"/>
      <c r="E11" s="296"/>
      <c r="F11" s="296"/>
      <c r="G11" s="286"/>
      <c r="H11" s="286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86"/>
    </row>
    <row r="12" spans="1:19" ht="12.75" customHeight="1" x14ac:dyDescent="0.4">
      <c r="A12" s="289"/>
      <c r="B12" s="289"/>
      <c r="C12" s="289"/>
      <c r="D12" s="289"/>
      <c r="E12" s="289"/>
      <c r="F12" s="289"/>
      <c r="G12" s="284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</row>
    <row r="13" spans="1:19" ht="20.25" customHeight="1" x14ac:dyDescent="0.4">
      <c r="A13" s="306" t="s">
        <v>335</v>
      </c>
      <c r="B13" s="307"/>
      <c r="C13" s="307"/>
      <c r="D13" s="307"/>
      <c r="E13" s="307"/>
      <c r="F13" s="307"/>
      <c r="G13" s="284"/>
      <c r="I13" s="287" t="s">
        <v>336</v>
      </c>
      <c r="J13" s="295"/>
      <c r="K13" s="295"/>
      <c r="L13" s="295"/>
      <c r="M13" s="295"/>
      <c r="N13" s="295"/>
      <c r="O13" s="295"/>
      <c r="P13" s="295"/>
      <c r="Q13" s="295"/>
      <c r="R13" s="295"/>
      <c r="S13" s="295"/>
    </row>
    <row r="14" spans="1:19" ht="26.4" x14ac:dyDescent="0.25">
      <c r="A14" s="308"/>
      <c r="B14" s="309" t="s">
        <v>337</v>
      </c>
      <c r="C14" s="309" t="s">
        <v>338</v>
      </c>
      <c r="D14" s="310" t="s">
        <v>339</v>
      </c>
      <c r="E14" s="311" t="s">
        <v>340</v>
      </c>
      <c r="F14" s="312" t="s">
        <v>341</v>
      </c>
      <c r="G14" s="313" t="s">
        <v>342</v>
      </c>
      <c r="I14" s="314" t="s">
        <v>343</v>
      </c>
      <c r="J14" s="295"/>
      <c r="K14" s="295"/>
      <c r="L14" s="295"/>
      <c r="M14" s="295"/>
      <c r="N14" s="295"/>
      <c r="O14" s="295"/>
      <c r="P14" s="295"/>
      <c r="Q14" s="295"/>
      <c r="R14" s="295"/>
      <c r="S14" s="295"/>
    </row>
    <row r="15" spans="1:19" ht="20.25" customHeight="1" x14ac:dyDescent="0.25">
      <c r="A15" s="315" t="s">
        <v>344</v>
      </c>
      <c r="B15" s="316"/>
      <c r="C15" s="317">
        <v>80</v>
      </c>
      <c r="D15" s="317">
        <v>20</v>
      </c>
      <c r="E15" s="318">
        <f>IF($D$10="S",200,100)</f>
        <v>100</v>
      </c>
      <c r="F15" s="319"/>
      <c r="G15" s="319">
        <f>IF(F10=0,0,C15*$F$10*$F$6+20*$F$6+IF($F$8&gt;1,D15*$F$8*$F$6,0)+$E$15)</f>
        <v>0</v>
      </c>
      <c r="I15" s="319">
        <f t="shared" ref="I15:I21" si="0">+G15+F15</f>
        <v>0</v>
      </c>
      <c r="J15" s="295"/>
      <c r="L15" s="295"/>
      <c r="M15" s="295"/>
      <c r="N15" s="295"/>
      <c r="O15" s="295"/>
      <c r="P15" s="295"/>
      <c r="Q15" s="295"/>
      <c r="R15" s="295"/>
      <c r="S15" s="295"/>
    </row>
    <row r="16" spans="1:19" ht="20.25" customHeight="1" x14ac:dyDescent="0.25">
      <c r="A16" s="315" t="s">
        <v>345</v>
      </c>
      <c r="B16" s="320">
        <v>50</v>
      </c>
      <c r="C16" s="319">
        <f>+B16</f>
        <v>50</v>
      </c>
      <c r="D16" s="627" t="s">
        <v>346</v>
      </c>
      <c r="E16" s="629"/>
      <c r="F16" s="321">
        <f>IF($D$8&lt;19,0,B16*($D$8+$F$10))</f>
        <v>0</v>
      </c>
      <c r="G16" s="319"/>
      <c r="I16" s="319">
        <f t="shared" si="0"/>
        <v>0</v>
      </c>
      <c r="J16" s="295"/>
      <c r="L16" s="295"/>
      <c r="M16" s="295"/>
      <c r="N16" s="295"/>
      <c r="O16" s="295"/>
      <c r="P16" s="295"/>
      <c r="Q16" s="295"/>
      <c r="R16" s="295"/>
      <c r="S16" s="295"/>
    </row>
    <row r="17" spans="1:19" ht="20.25" customHeight="1" x14ac:dyDescent="0.25">
      <c r="A17" s="315" t="s">
        <v>347</v>
      </c>
      <c r="B17" s="320">
        <v>25</v>
      </c>
      <c r="C17" s="319">
        <f>+B17</f>
        <v>25</v>
      </c>
      <c r="D17" s="627" t="s">
        <v>348</v>
      </c>
      <c r="E17" s="629"/>
      <c r="F17" s="321">
        <f>IF($D$8&lt;19,0,B17*G6*($D$8))</f>
        <v>0</v>
      </c>
      <c r="G17" s="321">
        <f>IF($D$8&lt;19,0,C17*G6*$F$10)</f>
        <v>0</v>
      </c>
      <c r="I17" s="319">
        <f t="shared" si="0"/>
        <v>0</v>
      </c>
      <c r="J17" s="295"/>
      <c r="L17" s="295"/>
      <c r="M17" s="295"/>
      <c r="N17" s="295"/>
      <c r="O17" s="295"/>
      <c r="P17" s="295"/>
      <c r="Q17" s="295"/>
      <c r="R17" s="295"/>
      <c r="S17" s="295"/>
    </row>
    <row r="18" spans="1:19" ht="20.25" customHeight="1" x14ac:dyDescent="0.25">
      <c r="A18" s="315" t="s">
        <v>349</v>
      </c>
      <c r="B18" s="320">
        <v>12</v>
      </c>
      <c r="C18" s="319">
        <v>12</v>
      </c>
      <c r="D18" s="738" t="s">
        <v>350</v>
      </c>
      <c r="E18" s="739"/>
      <c r="F18" s="321">
        <f>IF($D$8&lt;19,0,IF(D10="P",0,B18*$F$6*$D$8))</f>
        <v>0</v>
      </c>
      <c r="G18" s="319">
        <f>IF(D10="P",0,$F$10*$F$6*C18)</f>
        <v>0</v>
      </c>
      <c r="I18" s="319">
        <f t="shared" si="0"/>
        <v>0</v>
      </c>
      <c r="J18" s="295"/>
      <c r="L18" s="295"/>
      <c r="M18" s="295"/>
      <c r="N18" s="295"/>
      <c r="O18" s="295"/>
      <c r="P18" s="295"/>
      <c r="Q18" s="295"/>
      <c r="R18" s="295"/>
      <c r="S18" s="295"/>
    </row>
    <row r="19" spans="1:19" ht="20.25" customHeight="1" x14ac:dyDescent="0.25">
      <c r="A19" s="315" t="s">
        <v>351</v>
      </c>
      <c r="B19" s="320">
        <v>100</v>
      </c>
      <c r="C19" s="320">
        <v>120</v>
      </c>
      <c r="D19" s="627" t="s">
        <v>352</v>
      </c>
      <c r="E19" s="629"/>
      <c r="F19" s="321">
        <f>IF($D$8&lt;19,0,+B19*$D$8)</f>
        <v>0</v>
      </c>
      <c r="G19" s="319">
        <f>IF($D$8&lt;19,0,(IF(OR(E8=0,$D$10="P"),0,1)+$E$8)*C19)</f>
        <v>0</v>
      </c>
      <c r="I19" s="319">
        <f t="shared" si="0"/>
        <v>0</v>
      </c>
      <c r="J19" s="295"/>
      <c r="L19" s="295"/>
      <c r="M19" s="295"/>
      <c r="N19" s="295"/>
      <c r="O19" s="295"/>
      <c r="P19" s="295"/>
      <c r="Q19" s="295"/>
      <c r="R19" s="295"/>
      <c r="S19" s="295"/>
    </row>
    <row r="20" spans="1:19" ht="20.25" customHeight="1" x14ac:dyDescent="0.25">
      <c r="A20" s="315" t="s">
        <v>353</v>
      </c>
      <c r="B20" s="320">
        <v>20</v>
      </c>
      <c r="C20" s="317"/>
      <c r="D20" s="627"/>
      <c r="E20" s="629"/>
      <c r="F20" s="321">
        <f>IF($D$8&lt;19,0,+B20*$D$8)</f>
        <v>0</v>
      </c>
      <c r="G20" s="319"/>
      <c r="I20" s="319">
        <f t="shared" si="0"/>
        <v>0</v>
      </c>
      <c r="J20" s="295"/>
      <c r="L20" s="295"/>
      <c r="M20" s="295"/>
      <c r="N20" s="295"/>
      <c r="O20" s="295"/>
      <c r="P20" s="295"/>
      <c r="Q20" s="295"/>
      <c r="R20" s="295"/>
      <c r="S20" s="295"/>
    </row>
    <row r="21" spans="1:19" ht="20.25" customHeight="1" x14ac:dyDescent="0.25">
      <c r="A21" s="315" t="s">
        <v>354</v>
      </c>
      <c r="B21" s="320">
        <f>IF(F8&gt;1,30,0)</f>
        <v>0</v>
      </c>
      <c r="C21" s="317"/>
      <c r="D21" s="627" t="s">
        <v>355</v>
      </c>
      <c r="E21" s="629"/>
      <c r="F21" s="321">
        <f>IF($D$8&lt;19,0,+B21*$D$8)</f>
        <v>0</v>
      </c>
      <c r="G21" s="319"/>
      <c r="I21" s="319">
        <f t="shared" si="0"/>
        <v>0</v>
      </c>
      <c r="J21" s="295"/>
      <c r="L21" s="295"/>
      <c r="M21" s="295"/>
      <c r="N21" s="295"/>
      <c r="O21" s="295"/>
      <c r="P21" s="295"/>
      <c r="Q21" s="295"/>
      <c r="R21" s="295"/>
      <c r="S21" s="295"/>
    </row>
    <row r="22" spans="1:19" ht="13.5" customHeight="1" x14ac:dyDescent="0.25">
      <c r="A22" s="314"/>
      <c r="B22" s="322"/>
      <c r="C22" s="322"/>
      <c r="D22" s="627"/>
      <c r="E22" s="629"/>
      <c r="F22" s="323"/>
      <c r="G22" s="319"/>
      <c r="I22" s="319"/>
      <c r="J22" s="295"/>
      <c r="L22" s="295"/>
      <c r="M22" s="295"/>
      <c r="N22" s="295"/>
      <c r="O22" s="295"/>
      <c r="P22" s="295"/>
      <c r="Q22" s="295"/>
      <c r="R22" s="295"/>
      <c r="S22" s="295"/>
    </row>
    <row r="23" spans="1:19" ht="20.25" customHeight="1" x14ac:dyDescent="0.25">
      <c r="A23" s="315" t="s">
        <v>356</v>
      </c>
      <c r="B23" s="317">
        <f>IF(AND(B21&gt;0,F8&gt;1),-50,0)</f>
        <v>0</v>
      </c>
      <c r="C23" s="317"/>
      <c r="D23" s="627" t="s">
        <v>357</v>
      </c>
      <c r="E23" s="629"/>
      <c r="F23" s="321">
        <f>IF($D$8&lt;19,0,IF(AND(B21&lt;&gt;"",F8&gt;1),IF(F8*12&lt;D8,F8*12*B23,D8*B23),0))</f>
        <v>0</v>
      </c>
      <c r="G23" s="319"/>
      <c r="I23" s="319">
        <f>+G23+F23</f>
        <v>0</v>
      </c>
      <c r="J23" s="295"/>
      <c r="L23" s="295"/>
      <c r="M23" s="295"/>
      <c r="N23" s="295"/>
      <c r="O23" s="295"/>
      <c r="P23" s="295"/>
      <c r="Q23" s="295"/>
      <c r="R23" s="295"/>
      <c r="S23" s="295"/>
    </row>
    <row r="24" spans="1:19" ht="20.25" customHeight="1" x14ac:dyDescent="0.25">
      <c r="A24" s="315" t="s">
        <v>358</v>
      </c>
      <c r="B24" s="320"/>
      <c r="C24" s="324"/>
      <c r="D24" s="627"/>
      <c r="E24" s="629"/>
      <c r="F24" s="321">
        <f>IF($D$8&lt;19,0,+B24)</f>
        <v>0</v>
      </c>
      <c r="G24" s="319">
        <f>+C24</f>
        <v>0</v>
      </c>
      <c r="I24" s="319">
        <f>+G24+F24</f>
        <v>0</v>
      </c>
      <c r="J24" s="295"/>
      <c r="L24" s="295"/>
      <c r="M24" s="295"/>
      <c r="N24" s="295"/>
      <c r="O24" s="295"/>
      <c r="P24" s="295"/>
      <c r="Q24" s="295"/>
      <c r="R24" s="295"/>
      <c r="S24" s="295"/>
    </row>
    <row r="25" spans="1:19" ht="13.5" customHeight="1" x14ac:dyDescent="0.25">
      <c r="A25" s="314"/>
      <c r="B25" s="322"/>
      <c r="C25" s="322"/>
      <c r="D25" s="627"/>
      <c r="E25" s="629"/>
      <c r="F25" s="309"/>
      <c r="G25" s="319"/>
      <c r="I25" s="319"/>
      <c r="J25" s="295"/>
      <c r="L25" s="295"/>
      <c r="M25" s="295"/>
      <c r="N25" s="295"/>
      <c r="O25" s="295"/>
      <c r="P25" s="295"/>
      <c r="Q25" s="295"/>
      <c r="R25" s="295"/>
      <c r="S25" s="295"/>
    </row>
    <row r="26" spans="1:19" ht="20.25" customHeight="1" x14ac:dyDescent="0.25">
      <c r="A26" s="325"/>
      <c r="B26" s="326"/>
      <c r="C26" s="326"/>
      <c r="D26" s="327"/>
      <c r="E26" s="328"/>
      <c r="F26" s="329">
        <f>SUM(F15:F25)</f>
        <v>0</v>
      </c>
      <c r="G26" s="329">
        <f>SUM(G15:G25)</f>
        <v>0</v>
      </c>
      <c r="I26" s="330">
        <f>SUM(I15:I25)</f>
        <v>0</v>
      </c>
      <c r="J26" s="344">
        <f>I26</f>
        <v>0</v>
      </c>
      <c r="K26" s="345" t="s">
        <v>367</v>
      </c>
      <c r="L26" s="295"/>
      <c r="M26" s="295"/>
      <c r="N26" s="295"/>
      <c r="O26" s="295"/>
      <c r="P26" s="295"/>
      <c r="Q26" s="295"/>
      <c r="R26" s="295"/>
      <c r="S26" s="295"/>
    </row>
    <row r="27" spans="1:19" ht="12.75" customHeight="1" thickBot="1" x14ac:dyDescent="0.3">
      <c r="A27" s="331"/>
      <c r="B27" s="331"/>
      <c r="C27" s="331"/>
      <c r="D27" s="331"/>
      <c r="E27" s="331"/>
      <c r="F27" s="331"/>
      <c r="G27" s="331"/>
      <c r="J27" s="295"/>
      <c r="L27" s="295"/>
      <c r="M27" s="295"/>
      <c r="N27" s="295"/>
      <c r="O27" s="295"/>
      <c r="P27" s="295"/>
      <c r="Q27" s="295"/>
      <c r="R27" s="295"/>
      <c r="S27" s="295"/>
    </row>
    <row r="28" spans="1:19" ht="26.25" customHeight="1" thickBot="1" x14ac:dyDescent="0.3">
      <c r="A28" s="332" t="s">
        <v>359</v>
      </c>
      <c r="B28" s="333"/>
      <c r="C28" s="333"/>
      <c r="D28" s="334"/>
      <c r="E28" s="335"/>
      <c r="F28" s="336">
        <f>IF(F26=0,0,ROUNDUP((+F26)/D8,-1))</f>
        <v>0</v>
      </c>
      <c r="G28" s="337" t="e">
        <f>+G26/D8</f>
        <v>#DIV/0!</v>
      </c>
      <c r="I28" s="338"/>
      <c r="J28" s="295"/>
      <c r="L28" s="295"/>
      <c r="M28" s="295"/>
      <c r="N28" s="295"/>
      <c r="O28" s="295"/>
      <c r="P28" s="295"/>
      <c r="Q28" s="295"/>
      <c r="R28" s="295"/>
      <c r="S28" s="295"/>
    </row>
    <row r="29" spans="1:19" ht="12.75" customHeight="1" x14ac:dyDescent="0.25">
      <c r="F29" s="339" t="str">
        <f>"Ver. "&amp;Anleitung!H2</f>
        <v>Ver. 2024 - 1.0</v>
      </c>
      <c r="J29" s="295"/>
      <c r="K29" s="295"/>
      <c r="L29" s="295"/>
      <c r="M29" s="295"/>
      <c r="N29" s="295"/>
      <c r="O29" s="295"/>
      <c r="P29" s="295"/>
      <c r="Q29" s="295"/>
      <c r="R29" s="295"/>
      <c r="S29" s="295"/>
    </row>
    <row r="30" spans="1:19" ht="12.75" customHeight="1" x14ac:dyDescent="0.4">
      <c r="G30" s="284"/>
      <c r="J30" s="295"/>
      <c r="K30" s="295"/>
      <c r="L30" s="295"/>
      <c r="M30" s="295"/>
      <c r="N30" s="295"/>
      <c r="O30" s="295"/>
      <c r="P30" s="295"/>
      <c r="Q30" s="295"/>
      <c r="R30" s="295"/>
      <c r="S30" s="295"/>
    </row>
    <row r="31" spans="1:19" ht="24.6" x14ac:dyDescent="0.4">
      <c r="A31" s="287" t="s">
        <v>360</v>
      </c>
      <c r="F31" s="338"/>
      <c r="G31" s="284"/>
      <c r="J31" s="295"/>
      <c r="K31" s="295"/>
      <c r="L31" s="295"/>
      <c r="M31" s="295"/>
      <c r="N31" s="295"/>
      <c r="O31" s="295"/>
      <c r="P31" s="295"/>
      <c r="Q31" s="295"/>
      <c r="R31" s="295"/>
      <c r="S31" s="295"/>
    </row>
    <row r="32" spans="1:19" x14ac:dyDescent="0.25">
      <c r="A32" s="287" t="s">
        <v>361</v>
      </c>
    </row>
    <row r="33" spans="1:6" x14ac:dyDescent="0.25">
      <c r="A33" s="287" t="s">
        <v>362</v>
      </c>
    </row>
    <row r="34" spans="1:6" x14ac:dyDescent="0.25">
      <c r="A34" s="287" t="s">
        <v>363</v>
      </c>
      <c r="F34" s="338"/>
    </row>
    <row r="36" spans="1:6" x14ac:dyDescent="0.25">
      <c r="F36" s="338"/>
    </row>
  </sheetData>
  <sheetProtection password="C3D7" sheet="1"/>
  <mergeCells count="15">
    <mergeCell ref="D23:E23"/>
    <mergeCell ref="D24:E24"/>
    <mergeCell ref="D25:E25"/>
    <mergeCell ref="D17:E17"/>
    <mergeCell ref="D18:E18"/>
    <mergeCell ref="D19:E19"/>
    <mergeCell ref="D20:E20"/>
    <mergeCell ref="D21:E21"/>
    <mergeCell ref="D22:E22"/>
    <mergeCell ref="D16:E16"/>
    <mergeCell ref="A1:E1"/>
    <mergeCell ref="A2:G3"/>
    <mergeCell ref="A4:F4"/>
    <mergeCell ref="A6:B6"/>
    <mergeCell ref="A8:B8"/>
  </mergeCells>
  <conditionalFormatting sqref="B18:D18">
    <cfRule type="expression" dxfId="2" priority="1">
      <formula>IF($D$10="P",1,0)</formula>
    </cfRule>
  </conditionalFormatting>
  <conditionalFormatting sqref="D6:E6">
    <cfRule type="cellIs" dxfId="1" priority="6" stopIfTrue="1" operator="equal">
      <formula>"tt.mm.jj"</formula>
    </cfRule>
  </conditionalFormatting>
  <conditionalFormatting sqref="F28">
    <cfRule type="cellIs" dxfId="0" priority="4" operator="between">
      <formula>300</formula>
      <formula>450</formula>
    </cfRule>
    <cfRule type="colorScale" priority="5">
      <colorScale>
        <cfvo type="num" val="300"/>
        <cfvo type="num" val="450"/>
        <color theme="6" tint="-0.249977111117893"/>
        <color rgb="FFFF0000"/>
      </colorScale>
    </cfRule>
  </conditionalFormatting>
  <dataValidations count="1">
    <dataValidation type="list" allowBlank="1" showInputMessage="1" showErrorMessage="1" sqref="D10" xr:uid="{00000000-0002-0000-0E00-000000000000}">
      <formula1>"S,P"</formula1>
    </dataValidation>
  </dataValidations>
  <pageMargins left="0.70866141732283472" right="0.19685039370078741" top="0.59055118110236227" bottom="0.39370078740157483" header="0.19685039370078741" footer="0.15748031496062992"/>
  <pageSetup paperSize="9" orientation="portrait" r:id="rId1"/>
  <headerFooter alignWithMargins="0">
    <oddFooter>&amp;L&amp;8&amp;F&amp;R&amp;8gedruckt: &amp;D;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/>
  <dimension ref="A1:AC56"/>
  <sheetViews>
    <sheetView zoomScale="70" zoomScaleNormal="70" workbookViewId="0">
      <selection activeCell="A44" sqref="A44"/>
    </sheetView>
  </sheetViews>
  <sheetFormatPr baseColWidth="10" defaultColWidth="11.44140625" defaultRowHeight="13.2" x14ac:dyDescent="0.25"/>
  <cols>
    <col min="1" max="13" width="11.44140625" style="464"/>
    <col min="14" max="17" width="11.44140625" style="287"/>
    <col min="18" max="29" width="11.44140625" style="301"/>
    <col min="30" max="16384" width="11.44140625" style="287"/>
  </cols>
  <sheetData>
    <row r="1" spans="2:28" x14ac:dyDescent="0.25">
      <c r="B1" s="464" t="s">
        <v>3168</v>
      </c>
      <c r="E1" s="464" t="s">
        <v>376</v>
      </c>
      <c r="G1" s="464">
        <v>2024</v>
      </c>
      <c r="I1" s="464" t="s">
        <v>3167</v>
      </c>
      <c r="R1" s="465" t="s">
        <v>3168</v>
      </c>
      <c r="U1" s="301" t="s">
        <v>376</v>
      </c>
      <c r="W1" s="301">
        <v>2024</v>
      </c>
      <c r="Y1" s="301" t="s">
        <v>3167</v>
      </c>
    </row>
    <row r="2" spans="2:28" x14ac:dyDescent="0.25">
      <c r="G2" s="464" t="s">
        <v>3166</v>
      </c>
      <c r="W2" s="301" t="s">
        <v>3166</v>
      </c>
    </row>
    <row r="3" spans="2:28" x14ac:dyDescent="0.25">
      <c r="B3" s="464" t="s">
        <v>3165</v>
      </c>
      <c r="D3" s="464" t="s">
        <v>23</v>
      </c>
      <c r="E3" s="464" t="s">
        <v>375</v>
      </c>
      <c r="F3" s="464" t="s">
        <v>41</v>
      </c>
      <c r="G3" s="464" t="s">
        <v>375</v>
      </c>
      <c r="I3" s="464" t="s">
        <v>155</v>
      </c>
      <c r="J3" s="464" t="s">
        <v>3155</v>
      </c>
      <c r="R3" s="301" t="s">
        <v>3165</v>
      </c>
      <c r="T3" s="301" t="s">
        <v>23</v>
      </c>
      <c r="U3" s="301" t="s">
        <v>375</v>
      </c>
      <c r="V3" s="301" t="s">
        <v>41</v>
      </c>
      <c r="W3" s="301" t="s">
        <v>375</v>
      </c>
      <c r="Y3" s="301" t="s">
        <v>155</v>
      </c>
      <c r="Z3" s="301" t="s">
        <v>3155</v>
      </c>
    </row>
    <row r="4" spans="2:28" ht="15" customHeight="1" x14ac:dyDescent="0.25">
      <c r="B4" s="464" t="s">
        <v>372</v>
      </c>
      <c r="D4" s="464" t="s">
        <v>3164</v>
      </c>
      <c r="E4" s="464" t="s">
        <v>3163</v>
      </c>
      <c r="I4" s="464" t="s">
        <v>188</v>
      </c>
      <c r="K4" s="464" t="s">
        <v>156</v>
      </c>
      <c r="R4" s="301" t="s">
        <v>372</v>
      </c>
      <c r="T4" s="301" t="s">
        <v>3164</v>
      </c>
      <c r="U4" s="301" t="s">
        <v>3163</v>
      </c>
      <c r="Y4" s="301" t="s">
        <v>188</v>
      </c>
      <c r="AA4" s="301" t="s">
        <v>156</v>
      </c>
    </row>
    <row r="5" spans="2:28" x14ac:dyDescent="0.25">
      <c r="B5" s="464" t="s">
        <v>3162</v>
      </c>
      <c r="D5" s="464" t="s">
        <v>97</v>
      </c>
      <c r="F5" s="464" t="s">
        <v>128</v>
      </c>
      <c r="G5" s="464" t="s">
        <v>99</v>
      </c>
      <c r="R5" s="301" t="s">
        <v>3162</v>
      </c>
      <c r="T5" s="301" t="s">
        <v>97</v>
      </c>
      <c r="V5" s="301" t="s">
        <v>128</v>
      </c>
      <c r="W5" s="301" t="s">
        <v>99</v>
      </c>
    </row>
    <row r="6" spans="2:28" x14ac:dyDescent="0.25">
      <c r="B6" s="464" t="s">
        <v>368</v>
      </c>
      <c r="D6" s="464" t="s">
        <v>369</v>
      </c>
      <c r="I6" s="464" t="s">
        <v>157</v>
      </c>
      <c r="R6" s="301" t="s">
        <v>368</v>
      </c>
      <c r="T6" s="301" t="s">
        <v>369</v>
      </c>
      <c r="Y6" s="301" t="s">
        <v>157</v>
      </c>
    </row>
    <row r="7" spans="2:28" x14ac:dyDescent="0.25">
      <c r="D7" s="464">
        <v>3</v>
      </c>
      <c r="F7" s="464">
        <v>4</v>
      </c>
      <c r="T7" s="301">
        <v>3</v>
      </c>
      <c r="V7" s="301">
        <v>4</v>
      </c>
    </row>
    <row r="8" spans="2:28" x14ac:dyDescent="0.25">
      <c r="B8" s="464" t="s">
        <v>180</v>
      </c>
      <c r="D8" s="464" t="s">
        <v>126</v>
      </c>
      <c r="F8" s="464" t="s">
        <v>127</v>
      </c>
      <c r="I8" s="464" t="s">
        <v>187</v>
      </c>
      <c r="K8" s="464" t="s">
        <v>190</v>
      </c>
      <c r="R8" s="301" t="s">
        <v>180</v>
      </c>
      <c r="T8" s="301" t="s">
        <v>126</v>
      </c>
      <c r="V8" s="301" t="s">
        <v>127</v>
      </c>
      <c r="Y8" s="301" t="s">
        <v>187</v>
      </c>
      <c r="AA8" s="301" t="s">
        <v>190</v>
      </c>
    </row>
    <row r="9" spans="2:28" x14ac:dyDescent="0.25">
      <c r="B9" s="464" t="s">
        <v>181</v>
      </c>
      <c r="D9" s="464" t="s">
        <v>97</v>
      </c>
      <c r="F9" s="464" t="s">
        <v>128</v>
      </c>
      <c r="G9" s="464" t="s">
        <v>99</v>
      </c>
      <c r="R9" s="301" t="s">
        <v>181</v>
      </c>
      <c r="T9" s="301" t="s">
        <v>97</v>
      </c>
      <c r="V9" s="301" t="s">
        <v>128</v>
      </c>
      <c r="W9" s="301" t="s">
        <v>99</v>
      </c>
    </row>
    <row r="10" spans="2:28" x14ac:dyDescent="0.25">
      <c r="B10" s="464" t="s">
        <v>182</v>
      </c>
      <c r="D10" s="464" t="s">
        <v>160</v>
      </c>
      <c r="G10" s="464" t="s">
        <v>161</v>
      </c>
      <c r="I10" s="464" t="s">
        <v>189</v>
      </c>
      <c r="K10" s="464" t="s">
        <v>280</v>
      </c>
      <c r="L10" s="464">
        <v>2</v>
      </c>
      <c r="R10" s="301" t="s">
        <v>182</v>
      </c>
      <c r="T10" s="301" t="s">
        <v>160</v>
      </c>
      <c r="W10" s="301" t="s">
        <v>161</v>
      </c>
      <c r="Y10" s="301" t="s">
        <v>189</v>
      </c>
      <c r="AA10" s="301" t="s">
        <v>280</v>
      </c>
      <c r="AB10" s="301">
        <v>2</v>
      </c>
    </row>
    <row r="11" spans="2:28" x14ac:dyDescent="0.25">
      <c r="B11" s="464" t="s">
        <v>162</v>
      </c>
      <c r="D11" s="464" t="s">
        <v>163</v>
      </c>
      <c r="F11" s="464" t="s">
        <v>164</v>
      </c>
      <c r="I11" s="464" t="s">
        <v>179</v>
      </c>
      <c r="J11" s="464">
        <v>0</v>
      </c>
      <c r="K11" s="464" t="s">
        <v>281</v>
      </c>
      <c r="L11" s="464">
        <v>0</v>
      </c>
      <c r="R11" s="301" t="s">
        <v>162</v>
      </c>
      <c r="T11" s="301" t="s">
        <v>163</v>
      </c>
      <c r="V11" s="301" t="s">
        <v>164</v>
      </c>
      <c r="Y11" s="301" t="s">
        <v>179</v>
      </c>
      <c r="Z11" s="301">
        <v>0</v>
      </c>
      <c r="AA11" s="301" t="s">
        <v>281</v>
      </c>
      <c r="AB11" s="301">
        <v>0</v>
      </c>
    </row>
    <row r="13" spans="2:28" x14ac:dyDescent="0.25">
      <c r="B13" s="464" t="s">
        <v>373</v>
      </c>
      <c r="D13" s="464" t="s">
        <v>126</v>
      </c>
      <c r="F13" s="464" t="s">
        <v>127</v>
      </c>
      <c r="I13" s="464" t="s">
        <v>217</v>
      </c>
      <c r="J13" s="464">
        <v>0</v>
      </c>
      <c r="K13" s="464" t="s">
        <v>278</v>
      </c>
      <c r="L13" s="464">
        <v>0</v>
      </c>
      <c r="R13" s="301" t="s">
        <v>373</v>
      </c>
      <c r="T13" s="301" t="s">
        <v>126</v>
      </c>
      <c r="V13" s="301" t="s">
        <v>127</v>
      </c>
      <c r="Y13" s="301" t="s">
        <v>217</v>
      </c>
      <c r="Z13" s="301">
        <v>0</v>
      </c>
      <c r="AA13" s="301" t="s">
        <v>278</v>
      </c>
      <c r="AB13" s="301">
        <v>0</v>
      </c>
    </row>
    <row r="14" spans="2:28" x14ac:dyDescent="0.25">
      <c r="B14" s="464" t="s">
        <v>158</v>
      </c>
      <c r="D14" s="464" t="s">
        <v>97</v>
      </c>
      <c r="F14" s="464" t="s">
        <v>128</v>
      </c>
      <c r="G14" s="464" t="s">
        <v>99</v>
      </c>
      <c r="I14" s="464" t="s">
        <v>218</v>
      </c>
      <c r="J14" s="464">
        <v>0</v>
      </c>
      <c r="K14" s="464" t="s">
        <v>290</v>
      </c>
      <c r="L14" s="464" t="s">
        <v>3161</v>
      </c>
      <c r="R14" s="301" t="s">
        <v>158</v>
      </c>
      <c r="T14" s="301" t="s">
        <v>97</v>
      </c>
      <c r="V14" s="301" t="s">
        <v>128</v>
      </c>
      <c r="W14" s="301" t="s">
        <v>99</v>
      </c>
      <c r="Y14" s="301" t="s">
        <v>218</v>
      </c>
      <c r="Z14" s="301">
        <v>0</v>
      </c>
      <c r="AA14" s="301" t="s">
        <v>290</v>
      </c>
      <c r="AB14" s="301" t="s">
        <v>3161</v>
      </c>
    </row>
    <row r="15" spans="2:28" x14ac:dyDescent="0.25">
      <c r="B15" s="464" t="s">
        <v>159</v>
      </c>
      <c r="D15" s="464" t="s">
        <v>160</v>
      </c>
      <c r="G15" s="464" t="s">
        <v>161</v>
      </c>
      <c r="I15" s="464" t="s">
        <v>3155</v>
      </c>
      <c r="R15" s="301" t="s">
        <v>159</v>
      </c>
      <c r="T15" s="301" t="s">
        <v>160</v>
      </c>
      <c r="W15" s="301" t="s">
        <v>161</v>
      </c>
      <c r="Y15" s="301" t="s">
        <v>3155</v>
      </c>
    </row>
    <row r="16" spans="2:28" x14ac:dyDescent="0.25">
      <c r="B16" s="464" t="s">
        <v>162</v>
      </c>
      <c r="D16" s="464" t="s">
        <v>163</v>
      </c>
      <c r="F16" s="464" t="s">
        <v>164</v>
      </c>
      <c r="I16" s="464" t="s">
        <v>3155</v>
      </c>
      <c r="R16" s="301" t="s">
        <v>162</v>
      </c>
      <c r="T16" s="301" t="s">
        <v>163</v>
      </c>
      <c r="V16" s="301" t="s">
        <v>164</v>
      </c>
      <c r="Y16" s="301" t="s">
        <v>3155</v>
      </c>
    </row>
    <row r="18" spans="2:27" x14ac:dyDescent="0.25">
      <c r="B18" s="464" t="s">
        <v>183</v>
      </c>
      <c r="D18" s="464" t="s">
        <v>165</v>
      </c>
      <c r="R18" s="301" t="s">
        <v>183</v>
      </c>
      <c r="T18" s="301" t="s">
        <v>165</v>
      </c>
    </row>
    <row r="19" spans="2:27" ht="15.75" customHeight="1" x14ac:dyDescent="0.25">
      <c r="B19" s="464" t="s">
        <v>166</v>
      </c>
      <c r="I19" s="464" t="s">
        <v>3160</v>
      </c>
      <c r="R19" s="301" t="s">
        <v>166</v>
      </c>
      <c r="Y19" s="301" t="s">
        <v>3160</v>
      </c>
    </row>
    <row r="20" spans="2:27" x14ac:dyDescent="0.25">
      <c r="B20" s="464" t="s">
        <v>116</v>
      </c>
      <c r="I20" s="464" t="s">
        <v>3159</v>
      </c>
      <c r="R20" s="301" t="s">
        <v>116</v>
      </c>
      <c r="Y20" s="301" t="s">
        <v>3159</v>
      </c>
    </row>
    <row r="21" spans="2:27" x14ac:dyDescent="0.25">
      <c r="B21" s="464" t="s">
        <v>167</v>
      </c>
      <c r="I21" s="464" t="s">
        <v>3158</v>
      </c>
      <c r="R21" s="301" t="s">
        <v>167</v>
      </c>
      <c r="Y21" s="301" t="s">
        <v>3158</v>
      </c>
    </row>
    <row r="22" spans="2:27" x14ac:dyDescent="0.25">
      <c r="B22" s="464" t="s">
        <v>115</v>
      </c>
      <c r="I22" s="464" t="s">
        <v>3157</v>
      </c>
      <c r="R22" s="301" t="s">
        <v>115</v>
      </c>
      <c r="Y22" s="301" t="s">
        <v>3157</v>
      </c>
    </row>
    <row r="23" spans="2:27" x14ac:dyDescent="0.25">
      <c r="B23" s="464" t="s">
        <v>168</v>
      </c>
      <c r="D23" s="464" t="s">
        <v>128</v>
      </c>
      <c r="E23" s="464" t="s">
        <v>99</v>
      </c>
      <c r="I23" s="464" t="s">
        <v>3156</v>
      </c>
      <c r="R23" s="301" t="s">
        <v>168</v>
      </c>
      <c r="T23" s="301" t="s">
        <v>128</v>
      </c>
      <c r="U23" s="301" t="s">
        <v>99</v>
      </c>
      <c r="Y23" s="301" t="s">
        <v>3156</v>
      </c>
    </row>
    <row r="24" spans="2:27" ht="15.75" customHeight="1" x14ac:dyDescent="0.25">
      <c r="B24" s="464" t="s">
        <v>169</v>
      </c>
      <c r="R24" s="301" t="s">
        <v>169</v>
      </c>
    </row>
    <row r="25" spans="2:27" ht="15" customHeight="1" x14ac:dyDescent="0.25">
      <c r="B25" s="464" t="s">
        <v>113</v>
      </c>
      <c r="D25" s="464" t="s">
        <v>126</v>
      </c>
      <c r="F25" s="464" t="s">
        <v>127</v>
      </c>
      <c r="R25" s="301" t="s">
        <v>113</v>
      </c>
      <c r="T25" s="301" t="s">
        <v>126</v>
      </c>
      <c r="V25" s="301" t="s">
        <v>127</v>
      </c>
    </row>
    <row r="26" spans="2:27" x14ac:dyDescent="0.25">
      <c r="B26" s="464" t="s">
        <v>170</v>
      </c>
      <c r="D26" s="464" t="s">
        <v>128</v>
      </c>
      <c r="E26" s="464" t="s">
        <v>99</v>
      </c>
      <c r="K26" s="464" t="s">
        <v>3155</v>
      </c>
      <c r="R26" s="301" t="s">
        <v>170</v>
      </c>
      <c r="T26" s="301" t="s">
        <v>128</v>
      </c>
      <c r="U26" s="301" t="s">
        <v>99</v>
      </c>
      <c r="AA26" s="301" t="s">
        <v>3155</v>
      </c>
    </row>
    <row r="27" spans="2:27" x14ac:dyDescent="0.25">
      <c r="C27" s="464">
        <v>2</v>
      </c>
      <c r="F27" s="464">
        <v>7</v>
      </c>
      <c r="G27" s="464">
        <v>13</v>
      </c>
      <c r="K27" s="464">
        <v>5</v>
      </c>
      <c r="S27" s="301">
        <v>2</v>
      </c>
      <c r="V27" s="301">
        <v>7</v>
      </c>
      <c r="W27" s="301">
        <v>13</v>
      </c>
      <c r="AA27" s="301">
        <v>5</v>
      </c>
    </row>
    <row r="28" spans="2:27" x14ac:dyDescent="0.25">
      <c r="B28" s="464" t="s">
        <v>374</v>
      </c>
      <c r="R28" s="301" t="s">
        <v>374</v>
      </c>
    </row>
    <row r="29" spans="2:27" x14ac:dyDescent="0.25">
      <c r="B29" s="464" t="s">
        <v>208</v>
      </c>
      <c r="C29" s="464" t="s">
        <v>185</v>
      </c>
      <c r="F29" s="464" t="s">
        <v>186</v>
      </c>
      <c r="G29" s="464" t="s">
        <v>35</v>
      </c>
      <c r="J29" s="464" t="s">
        <v>295</v>
      </c>
      <c r="K29" s="464" t="s">
        <v>394</v>
      </c>
      <c r="R29" s="301" t="s">
        <v>208</v>
      </c>
      <c r="S29" s="301" t="s">
        <v>185</v>
      </c>
      <c r="V29" s="301" t="s">
        <v>186</v>
      </c>
      <c r="W29" s="301" t="s">
        <v>35</v>
      </c>
      <c r="Z29" s="301" t="s">
        <v>295</v>
      </c>
      <c r="AA29" s="301" t="s">
        <v>394</v>
      </c>
    </row>
    <row r="30" spans="2:27" x14ac:dyDescent="0.25">
      <c r="B30" s="464" t="s">
        <v>107</v>
      </c>
      <c r="C30" s="464" t="s">
        <v>107</v>
      </c>
      <c r="G30" s="464" t="s">
        <v>3155</v>
      </c>
      <c r="R30" s="301" t="s">
        <v>107</v>
      </c>
      <c r="S30" s="301" t="s">
        <v>107</v>
      </c>
      <c r="W30" s="301" t="s">
        <v>3155</v>
      </c>
    </row>
    <row r="31" spans="2:27" x14ac:dyDescent="0.25">
      <c r="B31" s="464" t="s">
        <v>108</v>
      </c>
      <c r="C31" s="464" t="s">
        <v>108</v>
      </c>
      <c r="R31" s="301" t="s">
        <v>108</v>
      </c>
      <c r="S31" s="301" t="s">
        <v>108</v>
      </c>
    </row>
    <row r="32" spans="2:27" x14ac:dyDescent="0.25">
      <c r="B32" s="464" t="s">
        <v>109</v>
      </c>
      <c r="C32" s="464" t="s">
        <v>109</v>
      </c>
      <c r="F32" s="464" t="s">
        <v>3155</v>
      </c>
      <c r="G32" s="464" t="s">
        <v>3155</v>
      </c>
      <c r="K32" s="464" t="s">
        <v>3155</v>
      </c>
      <c r="R32" s="301" t="s">
        <v>109</v>
      </c>
      <c r="S32" s="301" t="s">
        <v>109</v>
      </c>
      <c r="V32" s="301" t="s">
        <v>3155</v>
      </c>
      <c r="W32" s="301" t="s">
        <v>3155</v>
      </c>
      <c r="AA32" s="301" t="s">
        <v>3155</v>
      </c>
    </row>
    <row r="33" spans="2:27" x14ac:dyDescent="0.25">
      <c r="B33" s="464" t="s">
        <v>109</v>
      </c>
      <c r="C33" s="464" t="s">
        <v>109</v>
      </c>
      <c r="F33" s="464" t="s">
        <v>3155</v>
      </c>
      <c r="G33" s="464" t="s">
        <v>3155</v>
      </c>
      <c r="K33" s="464" t="s">
        <v>3155</v>
      </c>
      <c r="R33" s="301" t="s">
        <v>109</v>
      </c>
      <c r="S33" s="301" t="s">
        <v>109</v>
      </c>
      <c r="V33" s="301" t="s">
        <v>3155</v>
      </c>
      <c r="W33" s="301" t="s">
        <v>3155</v>
      </c>
      <c r="AA33" s="301" t="s">
        <v>3155</v>
      </c>
    </row>
    <row r="34" spans="2:27" x14ac:dyDescent="0.25">
      <c r="B34" s="464" t="s">
        <v>109</v>
      </c>
      <c r="C34" s="464" t="s">
        <v>109</v>
      </c>
      <c r="F34" s="464" t="s">
        <v>3155</v>
      </c>
      <c r="G34" s="464" t="s">
        <v>3155</v>
      </c>
      <c r="K34" s="464" t="s">
        <v>3155</v>
      </c>
      <c r="R34" s="301" t="s">
        <v>109</v>
      </c>
      <c r="S34" s="301" t="s">
        <v>109</v>
      </c>
      <c r="V34" s="301" t="s">
        <v>3155</v>
      </c>
      <c r="W34" s="301" t="s">
        <v>3155</v>
      </c>
      <c r="AA34" s="301" t="s">
        <v>3155</v>
      </c>
    </row>
    <row r="35" spans="2:27" x14ac:dyDescent="0.25">
      <c r="B35" s="464" t="s">
        <v>109</v>
      </c>
      <c r="C35" s="464" t="s">
        <v>109</v>
      </c>
      <c r="F35" s="464" t="s">
        <v>3155</v>
      </c>
      <c r="G35" s="464" t="s">
        <v>3155</v>
      </c>
      <c r="K35" s="464" t="s">
        <v>3155</v>
      </c>
      <c r="R35" s="301" t="s">
        <v>109</v>
      </c>
      <c r="S35" s="301" t="s">
        <v>109</v>
      </c>
      <c r="V35" s="301" t="s">
        <v>3155</v>
      </c>
      <c r="W35" s="301" t="s">
        <v>3155</v>
      </c>
      <c r="AA35" s="301" t="s">
        <v>3155</v>
      </c>
    </row>
    <row r="36" spans="2:27" x14ac:dyDescent="0.25">
      <c r="B36" s="464" t="s">
        <v>109</v>
      </c>
      <c r="C36" s="464" t="s">
        <v>109</v>
      </c>
      <c r="F36" s="464" t="s">
        <v>3155</v>
      </c>
      <c r="G36" s="464" t="s">
        <v>3155</v>
      </c>
      <c r="K36" s="464" t="s">
        <v>3155</v>
      </c>
      <c r="R36" s="301" t="s">
        <v>109</v>
      </c>
      <c r="S36" s="301" t="s">
        <v>109</v>
      </c>
      <c r="V36" s="301" t="s">
        <v>3155</v>
      </c>
      <c r="W36" s="301" t="s">
        <v>3155</v>
      </c>
      <c r="AA36" s="301" t="s">
        <v>3155</v>
      </c>
    </row>
    <row r="37" spans="2:27" x14ac:dyDescent="0.25">
      <c r="B37" s="464" t="s">
        <v>109</v>
      </c>
      <c r="C37" s="464" t="s">
        <v>109</v>
      </c>
      <c r="F37" s="464" t="s">
        <v>3155</v>
      </c>
      <c r="G37" s="464" t="s">
        <v>3155</v>
      </c>
      <c r="K37" s="464" t="s">
        <v>3155</v>
      </c>
      <c r="R37" s="301" t="s">
        <v>109</v>
      </c>
      <c r="S37" s="301" t="s">
        <v>109</v>
      </c>
      <c r="V37" s="301" t="s">
        <v>3155</v>
      </c>
      <c r="W37" s="301" t="s">
        <v>3155</v>
      </c>
      <c r="AA37" s="301" t="s">
        <v>3155</v>
      </c>
    </row>
    <row r="38" spans="2:27" x14ac:dyDescent="0.25">
      <c r="B38" s="464" t="s">
        <v>109</v>
      </c>
      <c r="C38" s="464" t="s">
        <v>109</v>
      </c>
      <c r="F38" s="464" t="s">
        <v>3155</v>
      </c>
      <c r="G38" s="464" t="s">
        <v>3155</v>
      </c>
      <c r="K38" s="464" t="s">
        <v>3155</v>
      </c>
      <c r="R38" s="301" t="s">
        <v>109</v>
      </c>
      <c r="S38" s="301" t="s">
        <v>109</v>
      </c>
      <c r="V38" s="301" t="s">
        <v>3155</v>
      </c>
      <c r="W38" s="301" t="s">
        <v>3155</v>
      </c>
      <c r="AA38" s="301" t="s">
        <v>3155</v>
      </c>
    </row>
    <row r="39" spans="2:27" x14ac:dyDescent="0.25">
      <c r="B39" s="464" t="s">
        <v>109</v>
      </c>
      <c r="C39" s="464" t="s">
        <v>109</v>
      </c>
      <c r="F39" s="464" t="s">
        <v>3155</v>
      </c>
      <c r="G39" s="464" t="s">
        <v>3155</v>
      </c>
      <c r="K39" s="464" t="s">
        <v>3155</v>
      </c>
      <c r="R39" s="301" t="s">
        <v>109</v>
      </c>
      <c r="S39" s="301" t="s">
        <v>109</v>
      </c>
      <c r="V39" s="301" t="s">
        <v>3155</v>
      </c>
      <c r="W39" s="301" t="s">
        <v>3155</v>
      </c>
      <c r="AA39" s="301" t="s">
        <v>3155</v>
      </c>
    </row>
    <row r="40" spans="2:27" x14ac:dyDescent="0.25">
      <c r="B40" s="464" t="s">
        <v>109</v>
      </c>
      <c r="C40" s="464" t="s">
        <v>109</v>
      </c>
      <c r="F40" s="464" t="s">
        <v>3155</v>
      </c>
      <c r="G40" s="464" t="s">
        <v>3155</v>
      </c>
      <c r="K40" s="464" t="s">
        <v>3155</v>
      </c>
      <c r="R40" s="301" t="s">
        <v>109</v>
      </c>
      <c r="S40" s="301" t="s">
        <v>109</v>
      </c>
      <c r="V40" s="301" t="s">
        <v>3155</v>
      </c>
      <c r="W40" s="301" t="s">
        <v>3155</v>
      </c>
      <c r="AA40" s="301" t="s">
        <v>3155</v>
      </c>
    </row>
    <row r="41" spans="2:27" x14ac:dyDescent="0.25">
      <c r="B41" s="464" t="s">
        <v>109</v>
      </c>
      <c r="C41" s="464" t="s">
        <v>109</v>
      </c>
      <c r="F41" s="464" t="s">
        <v>3155</v>
      </c>
      <c r="G41" s="464" t="s">
        <v>3155</v>
      </c>
      <c r="K41" s="464" t="s">
        <v>3155</v>
      </c>
      <c r="R41" s="301" t="s">
        <v>109</v>
      </c>
      <c r="S41" s="301" t="s">
        <v>109</v>
      </c>
      <c r="V41" s="301" t="s">
        <v>3155</v>
      </c>
      <c r="W41" s="301" t="s">
        <v>3155</v>
      </c>
      <c r="AA41" s="301" t="s">
        <v>3155</v>
      </c>
    </row>
    <row r="42" spans="2:27" x14ac:dyDescent="0.25">
      <c r="B42" s="464" t="s">
        <v>109</v>
      </c>
      <c r="C42" s="464" t="s">
        <v>109</v>
      </c>
      <c r="F42" s="464" t="s">
        <v>3155</v>
      </c>
      <c r="G42" s="464" t="s">
        <v>3155</v>
      </c>
      <c r="K42" s="464" t="s">
        <v>3155</v>
      </c>
      <c r="R42" s="301" t="s">
        <v>109</v>
      </c>
      <c r="S42" s="301" t="s">
        <v>109</v>
      </c>
      <c r="V42" s="301" t="s">
        <v>3155</v>
      </c>
      <c r="W42" s="301" t="s">
        <v>3155</v>
      </c>
      <c r="AA42" s="301" t="s">
        <v>3155</v>
      </c>
    </row>
    <row r="43" spans="2:27" x14ac:dyDescent="0.25">
      <c r="B43" s="464" t="s">
        <v>109</v>
      </c>
      <c r="C43" s="464" t="s">
        <v>109</v>
      </c>
      <c r="F43" s="464" t="s">
        <v>3155</v>
      </c>
      <c r="G43" s="464" t="s">
        <v>3155</v>
      </c>
      <c r="K43" s="464" t="s">
        <v>3155</v>
      </c>
      <c r="R43" s="301" t="s">
        <v>109</v>
      </c>
      <c r="S43" s="301" t="s">
        <v>109</v>
      </c>
      <c r="V43" s="301" t="s">
        <v>3155</v>
      </c>
      <c r="W43" s="301" t="s">
        <v>3155</v>
      </c>
      <c r="AA43" s="301" t="s">
        <v>3155</v>
      </c>
    </row>
    <row r="44" spans="2:27" x14ac:dyDescent="0.25">
      <c r="B44" s="464" t="s">
        <v>109</v>
      </c>
      <c r="C44" s="464" t="s">
        <v>109</v>
      </c>
      <c r="F44" s="464" t="s">
        <v>3155</v>
      </c>
      <c r="G44" s="464" t="s">
        <v>3155</v>
      </c>
      <c r="K44" s="464" t="s">
        <v>3155</v>
      </c>
      <c r="R44" s="301" t="s">
        <v>109</v>
      </c>
      <c r="S44" s="301" t="s">
        <v>109</v>
      </c>
      <c r="V44" s="301" t="s">
        <v>3155</v>
      </c>
      <c r="W44" s="301" t="s">
        <v>3155</v>
      </c>
      <c r="AA44" s="301" t="s">
        <v>3155</v>
      </c>
    </row>
    <row r="45" spans="2:27" x14ac:dyDescent="0.25">
      <c r="B45" s="464" t="s">
        <v>109</v>
      </c>
      <c r="C45" s="464" t="s">
        <v>109</v>
      </c>
      <c r="F45" s="464" t="s">
        <v>3155</v>
      </c>
      <c r="G45" s="464" t="s">
        <v>3155</v>
      </c>
      <c r="K45" s="464" t="s">
        <v>3155</v>
      </c>
      <c r="R45" s="301" t="s">
        <v>109</v>
      </c>
      <c r="S45" s="301" t="s">
        <v>109</v>
      </c>
      <c r="V45" s="301" t="s">
        <v>3155</v>
      </c>
      <c r="W45" s="301" t="s">
        <v>3155</v>
      </c>
      <c r="AA45" s="301" t="s">
        <v>3155</v>
      </c>
    </row>
    <row r="46" spans="2:27" x14ac:dyDescent="0.25">
      <c r="B46" s="464" t="s">
        <v>109</v>
      </c>
      <c r="C46" s="464" t="s">
        <v>109</v>
      </c>
      <c r="F46" s="464" t="s">
        <v>3155</v>
      </c>
      <c r="G46" s="464" t="s">
        <v>3155</v>
      </c>
      <c r="K46" s="464" t="s">
        <v>3155</v>
      </c>
      <c r="R46" s="301" t="s">
        <v>109</v>
      </c>
      <c r="S46" s="301" t="s">
        <v>109</v>
      </c>
      <c r="V46" s="301" t="s">
        <v>3155</v>
      </c>
      <c r="W46" s="301" t="s">
        <v>3155</v>
      </c>
      <c r="AA46" s="301" t="s">
        <v>3155</v>
      </c>
    </row>
    <row r="47" spans="2:27" x14ac:dyDescent="0.25">
      <c r="B47" s="464" t="s">
        <v>109</v>
      </c>
      <c r="C47" s="464" t="s">
        <v>109</v>
      </c>
      <c r="F47" s="464" t="s">
        <v>3155</v>
      </c>
      <c r="G47" s="464" t="s">
        <v>3155</v>
      </c>
      <c r="K47" s="464" t="s">
        <v>3155</v>
      </c>
      <c r="R47" s="301" t="s">
        <v>109</v>
      </c>
      <c r="S47" s="301" t="s">
        <v>109</v>
      </c>
      <c r="V47" s="301" t="s">
        <v>3155</v>
      </c>
      <c r="W47" s="301" t="s">
        <v>3155</v>
      </c>
      <c r="AA47" s="301" t="s">
        <v>3155</v>
      </c>
    </row>
    <row r="48" spans="2:27" x14ac:dyDescent="0.25">
      <c r="B48" s="464" t="s">
        <v>109</v>
      </c>
      <c r="C48" s="464" t="s">
        <v>109</v>
      </c>
      <c r="F48" s="464" t="s">
        <v>3155</v>
      </c>
      <c r="G48" s="464" t="s">
        <v>3155</v>
      </c>
      <c r="K48" s="464" t="s">
        <v>3155</v>
      </c>
      <c r="R48" s="301" t="s">
        <v>109</v>
      </c>
      <c r="S48" s="301" t="s">
        <v>109</v>
      </c>
      <c r="V48" s="301" t="s">
        <v>3155</v>
      </c>
      <c r="W48" s="301" t="s">
        <v>3155</v>
      </c>
      <c r="AA48" s="301" t="s">
        <v>3155</v>
      </c>
    </row>
    <row r="49" spans="2:27" x14ac:dyDescent="0.25">
      <c r="B49" s="464" t="s">
        <v>109</v>
      </c>
      <c r="C49" s="464" t="s">
        <v>109</v>
      </c>
      <c r="F49" s="464" t="s">
        <v>3155</v>
      </c>
      <c r="G49" s="464" t="s">
        <v>3155</v>
      </c>
      <c r="K49" s="464" t="s">
        <v>3155</v>
      </c>
      <c r="R49" s="301" t="s">
        <v>109</v>
      </c>
      <c r="S49" s="301" t="s">
        <v>109</v>
      </c>
      <c r="V49" s="301" t="s">
        <v>3155</v>
      </c>
      <c r="W49" s="301" t="s">
        <v>3155</v>
      </c>
      <c r="AA49" s="301" t="s">
        <v>3155</v>
      </c>
    </row>
    <row r="50" spans="2:27" x14ac:dyDescent="0.25">
      <c r="B50" s="464" t="s">
        <v>109</v>
      </c>
      <c r="C50" s="464" t="s">
        <v>109</v>
      </c>
      <c r="F50" s="464" t="s">
        <v>3155</v>
      </c>
      <c r="G50" s="464" t="s">
        <v>3155</v>
      </c>
      <c r="K50" s="464" t="s">
        <v>3155</v>
      </c>
      <c r="R50" s="301" t="s">
        <v>109</v>
      </c>
      <c r="S50" s="301" t="s">
        <v>109</v>
      </c>
      <c r="V50" s="301" t="s">
        <v>3155</v>
      </c>
      <c r="W50" s="301" t="s">
        <v>3155</v>
      </c>
      <c r="AA50" s="301" t="s">
        <v>3155</v>
      </c>
    </row>
    <row r="51" spans="2:27" x14ac:dyDescent="0.25">
      <c r="J51" s="464">
        <v>1</v>
      </c>
      <c r="Z51" s="301">
        <v>1</v>
      </c>
    </row>
    <row r="52" spans="2:27" x14ac:dyDescent="0.25">
      <c r="B52" s="464" t="s">
        <v>275</v>
      </c>
      <c r="J52" s="464">
        <v>1</v>
      </c>
      <c r="R52" s="301" t="s">
        <v>275</v>
      </c>
      <c r="Z52" s="301">
        <v>1</v>
      </c>
    </row>
    <row r="53" spans="2:27" x14ac:dyDescent="0.25">
      <c r="C53" s="464" t="s">
        <v>185</v>
      </c>
      <c r="F53" s="464" t="s">
        <v>282</v>
      </c>
      <c r="G53" s="464" t="s">
        <v>283</v>
      </c>
      <c r="J53" s="464">
        <v>1</v>
      </c>
      <c r="S53" s="301" t="s">
        <v>185</v>
      </c>
      <c r="V53" s="301" t="s">
        <v>282</v>
      </c>
      <c r="W53" s="301" t="s">
        <v>283</v>
      </c>
      <c r="Z53" s="301">
        <v>1</v>
      </c>
    </row>
    <row r="54" spans="2:27" x14ac:dyDescent="0.25">
      <c r="B54" s="464" t="s">
        <v>276</v>
      </c>
      <c r="C54" s="464" t="s">
        <v>276</v>
      </c>
      <c r="J54" s="464">
        <v>1</v>
      </c>
      <c r="R54" s="301" t="s">
        <v>276</v>
      </c>
      <c r="S54" s="301" t="s">
        <v>276</v>
      </c>
      <c r="Z54" s="301">
        <v>1</v>
      </c>
    </row>
    <row r="55" spans="2:27" x14ac:dyDescent="0.25">
      <c r="B55" s="464" t="s">
        <v>276</v>
      </c>
      <c r="C55" s="464" t="s">
        <v>276</v>
      </c>
      <c r="J55" s="464">
        <v>2</v>
      </c>
      <c r="R55" s="301" t="s">
        <v>276</v>
      </c>
      <c r="S55" s="301" t="s">
        <v>276</v>
      </c>
      <c r="Z55" s="301">
        <v>2</v>
      </c>
    </row>
    <row r="56" spans="2:27" x14ac:dyDescent="0.25">
      <c r="B56" s="464" t="s">
        <v>276</v>
      </c>
      <c r="C56" s="464" t="s">
        <v>276</v>
      </c>
      <c r="J56" s="464">
        <v>3</v>
      </c>
      <c r="R56" s="301" t="s">
        <v>276</v>
      </c>
      <c r="S56" s="301" t="s">
        <v>276</v>
      </c>
      <c r="Z56" s="301">
        <v>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indexed="44"/>
    <pageSetUpPr fitToPage="1"/>
  </sheetPr>
  <dimension ref="A1:L109"/>
  <sheetViews>
    <sheetView zoomScaleNormal="100" workbookViewId="0">
      <selection activeCell="J11" sqref="J11:K11"/>
    </sheetView>
  </sheetViews>
  <sheetFormatPr baseColWidth="10" defaultColWidth="11.44140625" defaultRowHeight="13.2" x14ac:dyDescent="0.25"/>
  <cols>
    <col min="1" max="1" width="19.109375" style="123" customWidth="1"/>
    <col min="2" max="2" width="17.44140625" style="123" customWidth="1"/>
    <col min="3" max="3" width="12" style="123" customWidth="1"/>
    <col min="4" max="4" width="19.6640625" style="123" customWidth="1"/>
    <col min="5" max="5" width="15.5546875" style="123" customWidth="1"/>
    <col min="6" max="6" width="18.44140625" style="123" customWidth="1"/>
    <col min="7" max="7" width="9" style="123" customWidth="1"/>
    <col min="8" max="9" width="11.44140625" style="123" customWidth="1"/>
    <col min="10" max="10" width="18.33203125" style="123" customWidth="1"/>
    <col min="11" max="16384" width="11.44140625" style="123"/>
  </cols>
  <sheetData>
    <row r="1" spans="1:8" s="117" customFormat="1" ht="39.75" customHeight="1" x14ac:dyDescent="0.4">
      <c r="A1" s="116" t="s">
        <v>210</v>
      </c>
      <c r="D1" s="116"/>
      <c r="E1" s="116"/>
      <c r="G1" s="217">
        <v>2024</v>
      </c>
    </row>
    <row r="2" spans="1:8" s="119" customFormat="1" ht="15" x14ac:dyDescent="0.25">
      <c r="A2" s="118"/>
      <c r="B2" s="118"/>
      <c r="C2" s="118"/>
      <c r="D2" s="118"/>
      <c r="E2" s="118"/>
      <c r="F2" s="118"/>
      <c r="G2" s="182" t="s">
        <v>209</v>
      </c>
      <c r="H2" s="351" t="s">
        <v>393</v>
      </c>
    </row>
    <row r="3" spans="1:8" x14ac:dyDescent="0.25">
      <c r="A3" s="183" t="s">
        <v>269</v>
      </c>
    </row>
    <row r="5" spans="1:8" x14ac:dyDescent="0.25">
      <c r="A5" s="229" t="str">
        <f>"Neuerungen in Version  "&amp;H2</f>
        <v>Neuerungen in Version  2024 - 1.0</v>
      </c>
      <c r="B5" s="230"/>
      <c r="C5" s="230"/>
      <c r="D5" s="230"/>
      <c r="E5" s="230"/>
      <c r="F5" s="230"/>
    </row>
    <row r="6" spans="1:8" x14ac:dyDescent="0.25">
      <c r="A6" s="276" t="s">
        <v>3170</v>
      </c>
      <c r="B6" s="230"/>
      <c r="C6" s="230"/>
      <c r="D6" s="230"/>
      <c r="E6" s="230"/>
      <c r="F6" s="230"/>
    </row>
    <row r="7" spans="1:8" x14ac:dyDescent="0.25">
      <c r="A7" s="276" t="s">
        <v>3169</v>
      </c>
      <c r="B7" s="230"/>
      <c r="C7" s="230"/>
      <c r="D7" s="230"/>
      <c r="E7" s="230"/>
      <c r="F7" s="230"/>
    </row>
    <row r="8" spans="1:8" x14ac:dyDescent="0.25">
      <c r="A8" s="276" t="s">
        <v>3171</v>
      </c>
      <c r="B8" s="230"/>
      <c r="C8" s="230"/>
      <c r="D8" s="230"/>
      <c r="E8" s="230"/>
      <c r="F8" s="230"/>
    </row>
    <row r="9" spans="1:8" x14ac:dyDescent="0.25">
      <c r="A9" s="276" t="s">
        <v>323</v>
      </c>
      <c r="B9" s="230"/>
      <c r="C9" s="230"/>
      <c r="D9" s="230"/>
      <c r="E9" s="230"/>
      <c r="F9" s="230"/>
    </row>
    <row r="10" spans="1:8" x14ac:dyDescent="0.25">
      <c r="A10" s="276" t="s">
        <v>377</v>
      </c>
      <c r="B10" s="230"/>
      <c r="C10" s="230"/>
      <c r="D10" s="230"/>
      <c r="E10" s="230"/>
      <c r="F10" s="230"/>
    </row>
    <row r="11" spans="1:8" x14ac:dyDescent="0.25">
      <c r="A11" s="228"/>
    </row>
    <row r="12" spans="1:8" x14ac:dyDescent="0.25">
      <c r="A12" s="123" t="s">
        <v>175</v>
      </c>
    </row>
    <row r="14" spans="1:8" x14ac:dyDescent="0.25">
      <c r="A14" s="227" t="s">
        <v>3172</v>
      </c>
    </row>
    <row r="15" spans="1:8" x14ac:dyDescent="0.25">
      <c r="A15" s="227" t="s">
        <v>199</v>
      </c>
    </row>
    <row r="16" spans="1:8" x14ac:dyDescent="0.25">
      <c r="A16" s="227" t="s">
        <v>205</v>
      </c>
    </row>
    <row r="17" spans="1:12" x14ac:dyDescent="0.25">
      <c r="A17" s="227" t="s">
        <v>200</v>
      </c>
    </row>
    <row r="18" spans="1:12" x14ac:dyDescent="0.25">
      <c r="A18" s="228"/>
    </row>
    <row r="20" spans="1:12" x14ac:dyDescent="0.25">
      <c r="A20" s="168" t="s">
        <v>194</v>
      </c>
      <c r="B20" s="171" t="s">
        <v>193</v>
      </c>
      <c r="F20" s="167"/>
    </row>
    <row r="21" spans="1:12" ht="15" x14ac:dyDescent="0.25">
      <c r="A21" s="166"/>
      <c r="B21" s="171" t="s">
        <v>213</v>
      </c>
    </row>
    <row r="22" spans="1:12" ht="15" x14ac:dyDescent="0.25">
      <c r="A22" s="169" t="s">
        <v>129</v>
      </c>
      <c r="B22" s="171" t="s">
        <v>176</v>
      </c>
    </row>
    <row r="23" spans="1:12" ht="15" x14ac:dyDescent="0.25">
      <c r="A23" s="165">
        <v>71</v>
      </c>
      <c r="B23" s="171" t="s">
        <v>195</v>
      </c>
    </row>
    <row r="26" spans="1:12" x14ac:dyDescent="0.25">
      <c r="A26" s="123" t="s">
        <v>206</v>
      </c>
    </row>
    <row r="28" spans="1:12" x14ac:dyDescent="0.25">
      <c r="A28" s="470" t="s">
        <v>3180</v>
      </c>
      <c r="B28" s="287"/>
      <c r="C28" s="287"/>
      <c r="D28" s="287"/>
      <c r="E28" s="287"/>
      <c r="F28" s="287"/>
      <c r="G28" s="287"/>
      <c r="H28" s="287"/>
      <c r="I28" s="287"/>
      <c r="J28" s="287"/>
      <c r="K28" s="287"/>
      <c r="L28" s="287"/>
    </row>
    <row r="29" spans="1:12" x14ac:dyDescent="0.25">
      <c r="A29" s="287" t="s">
        <v>3181</v>
      </c>
      <c r="B29" s="287"/>
      <c r="C29" s="287"/>
      <c r="D29" s="287"/>
      <c r="E29" s="287"/>
      <c r="F29" s="287"/>
      <c r="G29" s="287"/>
      <c r="H29" s="287"/>
      <c r="I29" s="287"/>
      <c r="J29" s="287"/>
      <c r="K29" s="287"/>
      <c r="L29" s="287"/>
    </row>
    <row r="30" spans="1:12" x14ac:dyDescent="0.25">
      <c r="A30" s="287" t="s">
        <v>3182</v>
      </c>
      <c r="B30" s="287"/>
      <c r="C30" s="287"/>
      <c r="D30" s="287"/>
      <c r="E30" s="287"/>
      <c r="F30" s="287"/>
      <c r="G30" s="287"/>
      <c r="H30" s="287" t="s">
        <v>3183</v>
      </c>
      <c r="I30" s="287"/>
      <c r="J30" s="287"/>
      <c r="K30" s="287" t="s">
        <v>3184</v>
      </c>
      <c r="L30" s="287"/>
    </row>
    <row r="31" spans="1:12" x14ac:dyDescent="0.25">
      <c r="A31" s="287"/>
      <c r="B31" s="287"/>
      <c r="C31" s="287"/>
      <c r="D31" s="287"/>
      <c r="E31" s="287"/>
      <c r="F31" s="287"/>
      <c r="G31" s="287"/>
      <c r="H31" s="287"/>
      <c r="I31" s="287"/>
      <c r="J31" s="287"/>
      <c r="K31" s="287" t="s">
        <v>3185</v>
      </c>
      <c r="L31" s="287"/>
    </row>
    <row r="32" spans="1:12" x14ac:dyDescent="0.25">
      <c r="A32" s="287" t="s">
        <v>3186</v>
      </c>
      <c r="B32" s="287"/>
      <c r="C32" s="287"/>
      <c r="D32" s="287"/>
      <c r="E32" s="287"/>
      <c r="F32" s="287"/>
      <c r="G32" s="287"/>
      <c r="H32" s="287"/>
      <c r="I32" s="287"/>
      <c r="J32" s="287"/>
      <c r="K32" s="287"/>
      <c r="L32" s="287"/>
    </row>
    <row r="33" spans="1:12" x14ac:dyDescent="0.25">
      <c r="A33" s="287" t="s">
        <v>3187</v>
      </c>
      <c r="B33" s="287"/>
      <c r="C33" s="287"/>
      <c r="D33" s="287"/>
      <c r="E33" s="287"/>
      <c r="F33" s="287"/>
      <c r="G33" s="287"/>
      <c r="H33" s="287"/>
      <c r="I33" s="287"/>
      <c r="J33" s="287"/>
      <c r="K33" s="287"/>
      <c r="L33" s="287"/>
    </row>
    <row r="34" spans="1:12" x14ac:dyDescent="0.25">
      <c r="A34" s="287" t="s">
        <v>3188</v>
      </c>
      <c r="B34" s="287"/>
      <c r="C34" s="287"/>
      <c r="D34" s="287"/>
      <c r="E34" s="287"/>
      <c r="F34" s="287"/>
      <c r="G34" s="287"/>
      <c r="H34" s="287"/>
      <c r="I34" s="287"/>
      <c r="J34" s="287"/>
      <c r="K34" s="287"/>
      <c r="L34" s="287"/>
    </row>
    <row r="35" spans="1:12" x14ac:dyDescent="0.25">
      <c r="A35" s="287"/>
      <c r="B35" s="287"/>
      <c r="C35" s="287"/>
      <c r="D35" s="287"/>
      <c r="E35" s="287"/>
      <c r="F35" s="287"/>
      <c r="G35" s="287"/>
      <c r="H35" s="287"/>
      <c r="I35" s="287"/>
      <c r="J35" s="287"/>
      <c r="K35" s="287"/>
      <c r="L35" s="287"/>
    </row>
    <row r="36" spans="1:12" x14ac:dyDescent="0.25">
      <c r="A36" s="287" t="s">
        <v>3189</v>
      </c>
      <c r="B36" s="287"/>
      <c r="C36" s="287"/>
      <c r="D36" s="287"/>
      <c r="E36" s="287"/>
      <c r="F36" s="287"/>
      <c r="G36" s="287"/>
      <c r="H36" s="287"/>
      <c r="I36" s="287"/>
      <c r="J36" s="287"/>
      <c r="K36" s="287"/>
      <c r="L36" s="287"/>
    </row>
    <row r="37" spans="1:12" x14ac:dyDescent="0.25">
      <c r="A37" s="287" t="s">
        <v>3190</v>
      </c>
      <c r="B37" s="287"/>
      <c r="C37" s="287"/>
      <c r="D37" s="287"/>
      <c r="E37" s="287"/>
      <c r="F37" s="287"/>
      <c r="G37" s="287"/>
      <c r="H37" s="287"/>
      <c r="I37" s="287"/>
      <c r="J37" s="287"/>
      <c r="K37" s="287"/>
      <c r="L37" s="287"/>
    </row>
    <row r="38" spans="1:12" x14ac:dyDescent="0.25">
      <c r="A38" s="287"/>
      <c r="B38" s="287"/>
      <c r="C38" s="287"/>
      <c r="D38" s="287"/>
      <c r="E38" s="287"/>
      <c r="F38" s="287"/>
      <c r="G38" s="287"/>
      <c r="H38" s="287"/>
      <c r="I38" s="287"/>
      <c r="J38" s="287"/>
      <c r="K38" s="287"/>
      <c r="L38" s="287"/>
    </row>
    <row r="39" spans="1:12" x14ac:dyDescent="0.25">
      <c r="A39" s="287" t="s">
        <v>3191</v>
      </c>
      <c r="B39" s="287"/>
      <c r="C39" s="287"/>
      <c r="D39" s="287"/>
      <c r="E39" s="287"/>
      <c r="F39" s="287"/>
      <c r="G39" s="287"/>
      <c r="H39" s="287"/>
      <c r="I39" s="287"/>
      <c r="J39" s="287"/>
      <c r="K39" s="287" t="s">
        <v>3192</v>
      </c>
      <c r="L39" s="287"/>
    </row>
    <row r="40" spans="1:12" x14ac:dyDescent="0.25">
      <c r="A40" s="287" t="s">
        <v>3193</v>
      </c>
      <c r="B40" s="287"/>
      <c r="C40" s="287"/>
      <c r="D40" s="287"/>
      <c r="E40" s="287"/>
      <c r="F40" s="287"/>
      <c r="G40" s="287"/>
      <c r="H40" s="287"/>
      <c r="I40" s="287"/>
      <c r="J40" s="287"/>
      <c r="K40" s="287" t="s">
        <v>3194</v>
      </c>
      <c r="L40" s="287"/>
    </row>
    <row r="41" spans="1:12" x14ac:dyDescent="0.25">
      <c r="A41" s="287" t="s">
        <v>3195</v>
      </c>
      <c r="B41" s="287"/>
      <c r="C41" s="287"/>
      <c r="D41" s="287"/>
      <c r="E41" s="287"/>
      <c r="F41" s="287"/>
      <c r="G41" s="287"/>
      <c r="H41" s="287"/>
      <c r="I41" s="287"/>
      <c r="J41" s="287"/>
      <c r="K41" s="287"/>
      <c r="L41" s="287"/>
    </row>
    <row r="42" spans="1:12" x14ac:dyDescent="0.25">
      <c r="A42" s="287"/>
      <c r="B42" s="287"/>
      <c r="C42" s="287"/>
      <c r="D42" s="287"/>
      <c r="E42" s="287"/>
      <c r="F42" s="287"/>
      <c r="G42" s="287"/>
      <c r="H42" s="287"/>
      <c r="I42" s="287"/>
      <c r="J42" s="287"/>
      <c r="K42" s="287"/>
      <c r="L42" s="287"/>
    </row>
    <row r="43" spans="1:12" x14ac:dyDescent="0.25">
      <c r="A43" s="287"/>
      <c r="B43" s="287"/>
      <c r="C43" s="287"/>
      <c r="D43" s="287"/>
      <c r="E43" s="287"/>
      <c r="F43" s="287"/>
      <c r="G43" s="287"/>
      <c r="H43" s="287"/>
      <c r="I43" s="287"/>
      <c r="J43" s="287"/>
      <c r="K43" s="287"/>
      <c r="L43" s="287"/>
    </row>
    <row r="44" spans="1:12" x14ac:dyDescent="0.25">
      <c r="A44" s="287"/>
      <c r="B44" s="287"/>
      <c r="C44" s="287"/>
      <c r="D44" s="287"/>
      <c r="E44" s="287"/>
      <c r="F44" s="287"/>
      <c r="G44" s="287"/>
      <c r="H44" s="287"/>
      <c r="I44" s="287"/>
      <c r="J44" s="287"/>
      <c r="K44" s="287"/>
      <c r="L44" s="287"/>
    </row>
    <row r="45" spans="1:12" x14ac:dyDescent="0.25">
      <c r="A45" s="287"/>
      <c r="B45" s="287"/>
      <c r="C45" s="287"/>
      <c r="D45" s="287"/>
      <c r="E45" s="287"/>
      <c r="F45" s="287"/>
      <c r="G45" s="287"/>
      <c r="H45" s="287"/>
      <c r="I45" s="287"/>
      <c r="J45" s="287"/>
      <c r="K45" s="287"/>
      <c r="L45" s="287"/>
    </row>
    <row r="46" spans="1:12" x14ac:dyDescent="0.25">
      <c r="A46" s="170" t="s">
        <v>196</v>
      </c>
    </row>
    <row r="48" spans="1:12" x14ac:dyDescent="0.25">
      <c r="A48" s="171" t="s">
        <v>197</v>
      </c>
    </row>
    <row r="49" spans="1:1" x14ac:dyDescent="0.25">
      <c r="A49" s="171" t="s">
        <v>207</v>
      </c>
    </row>
    <row r="50" spans="1:1" x14ac:dyDescent="0.25">
      <c r="A50" s="171" t="s">
        <v>198</v>
      </c>
    </row>
    <row r="60" spans="1:1" x14ac:dyDescent="0.25">
      <c r="A60" s="170" t="s">
        <v>201</v>
      </c>
    </row>
    <row r="62" spans="1:1" x14ac:dyDescent="0.25">
      <c r="A62" s="171" t="s">
        <v>202</v>
      </c>
    </row>
    <row r="63" spans="1:1" x14ac:dyDescent="0.25">
      <c r="A63" s="171" t="s">
        <v>203</v>
      </c>
    </row>
    <row r="80" spans="1:1" x14ac:dyDescent="0.25">
      <c r="A80" s="170" t="s">
        <v>204</v>
      </c>
    </row>
    <row r="82" spans="1:1" x14ac:dyDescent="0.25">
      <c r="A82" s="171" t="s">
        <v>211</v>
      </c>
    </row>
    <row r="83" spans="1:1" x14ac:dyDescent="0.25">
      <c r="A83" s="171" t="s">
        <v>212</v>
      </c>
    </row>
    <row r="102" spans="1:9" x14ac:dyDescent="0.25">
      <c r="A102" s="123" t="s">
        <v>177</v>
      </c>
    </row>
    <row r="103" spans="1:9" x14ac:dyDescent="0.25">
      <c r="A103" s="123" t="s">
        <v>178</v>
      </c>
    </row>
    <row r="105" spans="1:9" x14ac:dyDescent="0.25">
      <c r="A105" s="268" t="s">
        <v>303</v>
      </c>
      <c r="D105" s="170" t="s">
        <v>304</v>
      </c>
      <c r="F105" s="170" t="s">
        <v>305</v>
      </c>
    </row>
    <row r="106" spans="1:9" x14ac:dyDescent="0.25">
      <c r="A106" s="269" t="s">
        <v>309</v>
      </c>
      <c r="B106" s="270"/>
      <c r="C106" s="270"/>
      <c r="D106" s="270" t="s">
        <v>279</v>
      </c>
      <c r="E106" s="270"/>
      <c r="F106" s="271" t="s">
        <v>308</v>
      </c>
      <c r="G106" s="270"/>
      <c r="H106" s="270"/>
      <c r="I106" s="270"/>
    </row>
    <row r="107" spans="1:9" x14ac:dyDescent="0.25">
      <c r="A107" s="269" t="s">
        <v>306</v>
      </c>
      <c r="B107" s="270"/>
      <c r="C107" s="270"/>
      <c r="D107" s="270" t="s">
        <v>307</v>
      </c>
      <c r="E107" s="270"/>
      <c r="F107" s="271" t="s">
        <v>308</v>
      </c>
      <c r="G107" s="270"/>
      <c r="H107" s="270"/>
      <c r="I107" s="270"/>
    </row>
    <row r="108" spans="1:9" x14ac:dyDescent="0.25">
      <c r="A108" s="269" t="s">
        <v>364</v>
      </c>
      <c r="B108" s="270"/>
      <c r="C108" s="270"/>
      <c r="D108" s="270" t="s">
        <v>279</v>
      </c>
      <c r="E108" s="270"/>
      <c r="F108" s="272" t="s">
        <v>310</v>
      </c>
      <c r="G108" s="270"/>
      <c r="H108" s="270"/>
      <c r="I108" s="270"/>
    </row>
    <row r="109" spans="1:9" x14ac:dyDescent="0.25">
      <c r="A109" s="270"/>
      <c r="B109" s="270"/>
      <c r="C109" s="270"/>
      <c r="D109" s="270"/>
      <c r="E109" s="270"/>
      <c r="F109" s="270"/>
      <c r="G109" s="270"/>
      <c r="H109" s="270"/>
      <c r="I109" s="270"/>
    </row>
  </sheetData>
  <dataConsolidate link="1"/>
  <phoneticPr fontId="41" type="noConversion"/>
  <conditionalFormatting sqref="A21:A23">
    <cfRule type="cellIs" dxfId="91" priority="5" stopIfTrue="1" operator="equal">
      <formula>"Nr."</formula>
    </cfRule>
    <cfRule type="cellIs" dxfId="90" priority="6" stopIfTrue="1" operator="equal">
      <formula>"lagerort"</formula>
    </cfRule>
  </conditionalFormatting>
  <hyperlinks>
    <hyperlink ref="D107" r:id="rId1" xr:uid="{00000000-0004-0000-0200-000000000000}"/>
  </hyperlinks>
  <pageMargins left="0.78740157480314965" right="0.19685039370078741" top="0.59055118110236227" bottom="0.31496062992125984" header="0.35433070866141736" footer="0.15748031496062992"/>
  <pageSetup paperSize="9" scale="66" orientation="portrait" r:id="rId2"/>
  <headerFooter alignWithMargins="0">
    <oddFooter>&amp;R&amp;8gedruckt: &amp;D; &amp;T</oddFooter>
  </headerFooter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indexed="17"/>
    <pageSetUpPr fitToPage="1"/>
  </sheetPr>
  <dimension ref="A1:AJ56"/>
  <sheetViews>
    <sheetView tabSelected="1" zoomScale="70" zoomScaleNormal="70" workbookViewId="0">
      <selection activeCell="E1" sqref="E1"/>
    </sheetView>
  </sheetViews>
  <sheetFormatPr baseColWidth="10" defaultColWidth="11.44140625" defaultRowHeight="13.2" x14ac:dyDescent="0.25"/>
  <cols>
    <col min="1" max="1" width="9.44140625" style="123" customWidth="1"/>
    <col min="2" max="2" width="14.109375" style="123" customWidth="1"/>
    <col min="3" max="3" width="19" style="123" customWidth="1"/>
    <col min="4" max="4" width="12" style="123" customWidth="1"/>
    <col min="5" max="5" width="19.6640625" style="123" customWidth="1"/>
    <col min="6" max="6" width="15.5546875" style="123" customWidth="1"/>
    <col min="7" max="7" width="19.6640625" style="123" customWidth="1"/>
    <col min="8" max="8" width="7.88671875" style="123" customWidth="1"/>
    <col min="9" max="9" width="18" style="123" customWidth="1"/>
    <col min="10" max="10" width="10.88671875" style="123" customWidth="1"/>
    <col min="11" max="11" width="20.109375" style="123" customWidth="1"/>
    <col min="12" max="12" width="11.44140625" style="123" customWidth="1"/>
    <col min="13" max="13" width="2" style="123" customWidth="1"/>
    <col min="14" max="14" width="19.5546875" style="197" customWidth="1"/>
    <col min="15" max="15" width="15.109375" style="197" bestFit="1" customWidth="1"/>
    <col min="16" max="16" width="11.5546875" style="197" bestFit="1" customWidth="1"/>
    <col min="17" max="17" width="1.6640625" style="197" customWidth="1"/>
    <col min="18" max="18" width="11" style="197" bestFit="1" customWidth="1"/>
    <col min="19" max="19" width="15" style="197" bestFit="1" customWidth="1"/>
    <col min="20" max="24" width="11.44140625" style="197"/>
    <col min="25" max="26" width="11.44140625" style="183"/>
    <col min="27" max="16384" width="11.44140625" style="123"/>
  </cols>
  <sheetData>
    <row r="1" spans="1:36" s="117" customFormat="1" ht="39.75" customHeight="1" x14ac:dyDescent="0.4">
      <c r="B1" s="116" t="s">
        <v>319</v>
      </c>
      <c r="C1" s="116"/>
      <c r="D1" s="116"/>
      <c r="E1" s="277" t="s">
        <v>376</v>
      </c>
      <c r="G1" s="116">
        <f>Anleitung!G1</f>
        <v>2024</v>
      </c>
      <c r="I1" s="457" t="str">
        <f>"Die Lageranmeldung ist zu senden an:    "&amp;Anleitung!D106</f>
        <v>Die Lageranmeldung ist zu senden an:    abrechnung@schneezueri.ch</v>
      </c>
      <c r="J1" s="284"/>
      <c r="K1" s="284"/>
      <c r="L1" s="284"/>
      <c r="M1" s="284"/>
      <c r="N1" s="294"/>
      <c r="O1" s="493"/>
      <c r="P1" s="294"/>
      <c r="Q1" s="294"/>
      <c r="R1" s="294"/>
      <c r="S1" s="294"/>
      <c r="T1" s="197"/>
      <c r="U1" s="197"/>
      <c r="V1" s="197"/>
      <c r="W1" s="197"/>
      <c r="X1" s="197"/>
      <c r="Y1" s="183"/>
      <c r="Z1" s="274"/>
      <c r="AA1" s="274"/>
      <c r="AB1" s="274"/>
      <c r="AC1" s="274"/>
      <c r="AD1" s="274"/>
      <c r="AE1" s="274"/>
    </row>
    <row r="2" spans="1:36" s="119" customFormat="1" ht="24.6" x14ac:dyDescent="0.4">
      <c r="B2" s="118"/>
      <c r="C2" s="118"/>
      <c r="D2" s="118"/>
      <c r="E2" s="118"/>
      <c r="F2" s="118"/>
      <c r="G2" s="219" t="str">
        <f>"Ver. "&amp;Anleitung!H2</f>
        <v>Ver. 2024 - 1.0</v>
      </c>
      <c r="N2" s="494"/>
      <c r="O2" s="493" t="s">
        <v>442</v>
      </c>
      <c r="P2" s="294"/>
      <c r="Q2" s="294"/>
      <c r="R2" s="294"/>
      <c r="S2" s="294"/>
      <c r="T2" s="197"/>
      <c r="U2" s="197"/>
      <c r="V2" s="197"/>
      <c r="W2" s="197"/>
      <c r="X2" s="197"/>
      <c r="Y2" s="274"/>
      <c r="Z2" s="247"/>
      <c r="AA2" s="247"/>
      <c r="AB2" s="247"/>
      <c r="AC2" s="247"/>
      <c r="AD2" s="247"/>
      <c r="AE2" s="247"/>
    </row>
    <row r="3" spans="1:36" s="117" customFormat="1" ht="21.9" customHeight="1" x14ac:dyDescent="0.4">
      <c r="B3" s="508" t="str">
        <f>IF($E$1="Camp","","SH-")&amp;"Camp"&amp;" Datum*:"</f>
        <v>SH-Camp Datum*:</v>
      </c>
      <c r="C3" s="509"/>
      <c r="D3" s="120" t="s">
        <v>23</v>
      </c>
      <c r="E3" s="102" t="s">
        <v>375</v>
      </c>
      <c r="F3" s="120" t="s">
        <v>41</v>
      </c>
      <c r="G3" s="102" t="s">
        <v>375</v>
      </c>
      <c r="I3" s="121" t="s">
        <v>155</v>
      </c>
      <c r="J3" s="122" t="str">
        <f>IF(OR(E3="",E3="tt.mm.jj"),"",G3-E3+1)</f>
        <v/>
      </c>
      <c r="K3" s="123"/>
      <c r="L3" s="123"/>
      <c r="N3" s="495"/>
      <c r="O3" s="496" t="s">
        <v>271</v>
      </c>
      <c r="P3" s="496" t="s">
        <v>272</v>
      </c>
      <c r="Q3" s="497"/>
      <c r="R3" s="496" t="s">
        <v>273</v>
      </c>
      <c r="S3" s="496" t="s">
        <v>277</v>
      </c>
      <c r="T3" s="495"/>
      <c r="U3" s="495"/>
      <c r="V3" s="495"/>
      <c r="W3" s="495"/>
      <c r="X3" s="495"/>
      <c r="Y3" s="247"/>
      <c r="Z3" s="274"/>
      <c r="AA3" s="274"/>
      <c r="AB3" s="274"/>
      <c r="AC3" s="274"/>
      <c r="AD3" s="274"/>
      <c r="AE3" s="274"/>
    </row>
    <row r="4" spans="1:36" s="119" customFormat="1" ht="24.75" customHeight="1" x14ac:dyDescent="0.4">
      <c r="B4" s="508" t="str">
        <f>IF($E$1="Camp","Camp Nr / - Ort.","Lager-Beitrag / Schulhaus*")</f>
        <v>Lager-Beitrag / Schulhaus*</v>
      </c>
      <c r="C4" s="509"/>
      <c r="D4" s="349" t="str">
        <f>Import!D4</f>
        <v>CHF</v>
      </c>
      <c r="E4" s="521" t="str">
        <f>Import!E4</f>
        <v>Schulhaus</v>
      </c>
      <c r="F4" s="522">
        <f>Import!F4</f>
        <v>0</v>
      </c>
      <c r="G4" s="523">
        <f>Import!G4</f>
        <v>0</v>
      </c>
      <c r="I4" s="125" t="s">
        <v>188</v>
      </c>
      <c r="J4" s="223"/>
      <c r="K4" s="517" t="s">
        <v>156</v>
      </c>
      <c r="L4" s="518"/>
      <c r="N4" s="494"/>
      <c r="O4" s="498">
        <v>0</v>
      </c>
      <c r="P4" s="498">
        <v>0</v>
      </c>
      <c r="Q4" s="499"/>
      <c r="R4" s="498"/>
      <c r="S4" s="498">
        <v>0</v>
      </c>
      <c r="T4" s="500" t="s">
        <v>219</v>
      </c>
      <c r="U4" s="494"/>
      <c r="V4" s="494"/>
      <c r="W4" s="494"/>
      <c r="X4" s="494"/>
      <c r="Y4" s="274"/>
      <c r="Z4" s="247"/>
      <c r="AA4" s="247"/>
      <c r="AB4" s="247"/>
      <c r="AC4" s="247"/>
      <c r="AD4" s="247"/>
      <c r="AE4" s="247"/>
    </row>
    <row r="5" spans="1:36" s="117" customFormat="1" ht="21.9" customHeight="1" x14ac:dyDescent="0.4">
      <c r="B5" s="508" t="str">
        <f>IF($E$1="Camp","","SH-")&amp;"Camp Adresse:"</f>
        <v>SH-Camp Adresse:</v>
      </c>
      <c r="C5" s="509"/>
      <c r="D5" s="506" t="str">
        <f>Import!D5</f>
        <v>Strasse</v>
      </c>
      <c r="E5" s="510">
        <f>Import!E5</f>
        <v>0</v>
      </c>
      <c r="F5" s="127" t="str">
        <f>Import!F5</f>
        <v>Plz</v>
      </c>
      <c r="G5" s="124" t="str">
        <f>Import!G5</f>
        <v>Ort</v>
      </c>
      <c r="N5" s="495"/>
      <c r="O5" s="498">
        <v>20</v>
      </c>
      <c r="P5" s="498">
        <v>4</v>
      </c>
      <c r="Q5" s="499"/>
      <c r="R5" s="498">
        <v>4</v>
      </c>
      <c r="S5" s="498">
        <v>1</v>
      </c>
      <c r="T5" s="495"/>
      <c r="U5" s="495"/>
      <c r="V5" s="495"/>
      <c r="W5" s="495"/>
      <c r="X5" s="495"/>
      <c r="Y5" s="247"/>
      <c r="Z5" s="274"/>
      <c r="AA5" s="274"/>
      <c r="AB5" s="274"/>
      <c r="AC5" s="274"/>
      <c r="AD5" s="274"/>
      <c r="AE5" s="274"/>
    </row>
    <row r="6" spans="1:36" s="117" customFormat="1" ht="21.9" customHeight="1" x14ac:dyDescent="0.4">
      <c r="B6" s="508" t="s">
        <v>368</v>
      </c>
      <c r="C6" s="509"/>
      <c r="D6" s="506" t="s">
        <v>369</v>
      </c>
      <c r="E6" s="510"/>
      <c r="F6" s="510"/>
      <c r="G6" s="507"/>
      <c r="I6" s="519" t="s">
        <v>157</v>
      </c>
      <c r="J6" s="520"/>
      <c r="K6" s="520"/>
      <c r="L6" s="520"/>
      <c r="M6" s="162"/>
      <c r="N6" s="495"/>
      <c r="O6" s="498">
        <v>24</v>
      </c>
      <c r="P6" s="498">
        <v>5</v>
      </c>
      <c r="Q6" s="499"/>
      <c r="R6" s="498">
        <v>6</v>
      </c>
      <c r="S6" s="498">
        <v>1</v>
      </c>
      <c r="T6" s="500" t="s">
        <v>284</v>
      </c>
      <c r="U6" s="501" t="s">
        <v>220</v>
      </c>
      <c r="V6" s="494"/>
      <c r="W6" s="494"/>
      <c r="X6" s="494"/>
      <c r="Y6" s="274"/>
      <c r="Z6" s="274"/>
      <c r="AA6" s="274"/>
      <c r="AB6" s="274"/>
      <c r="AC6" s="274"/>
      <c r="AD6" s="274"/>
      <c r="AE6" s="274"/>
    </row>
    <row r="7" spans="1:36" s="117" customFormat="1" ht="11.1" customHeight="1" x14ac:dyDescent="0.4">
      <c r="B7" s="459"/>
      <c r="C7" s="460"/>
      <c r="D7" s="460"/>
      <c r="E7" s="460"/>
      <c r="F7" s="460"/>
      <c r="G7" s="460"/>
      <c r="I7" s="156"/>
      <c r="M7" s="157"/>
      <c r="N7" s="495"/>
      <c r="O7" s="498">
        <v>32</v>
      </c>
      <c r="P7" s="498">
        <v>6</v>
      </c>
      <c r="Q7" s="499"/>
      <c r="R7" s="498">
        <v>8</v>
      </c>
      <c r="S7" s="498">
        <v>2</v>
      </c>
      <c r="T7" s="495"/>
      <c r="U7" s="495"/>
      <c r="V7" s="495"/>
      <c r="W7" s="495"/>
      <c r="X7" s="495"/>
      <c r="Y7" s="274"/>
      <c r="Z7" s="274"/>
      <c r="AA7" s="274"/>
      <c r="AB7" s="274"/>
      <c r="AC7" s="274"/>
      <c r="AD7" s="274"/>
      <c r="AE7" s="274"/>
    </row>
    <row r="8" spans="1:36" s="117" customFormat="1" ht="21.9" customHeight="1" x14ac:dyDescent="0.4">
      <c r="A8" s="492" t="str">
        <f>LEFT(D8,4)&amp;LEFT(F8,4)</f>
        <v>VornName</v>
      </c>
      <c r="B8" s="508" t="s">
        <v>180</v>
      </c>
      <c r="C8" s="509"/>
      <c r="D8" s="506" t="str">
        <f>Import!D8</f>
        <v>Vorname</v>
      </c>
      <c r="E8" s="510">
        <f>Import!E8</f>
        <v>0</v>
      </c>
      <c r="F8" s="506" t="str">
        <f>Import!F8</f>
        <v>Name</v>
      </c>
      <c r="G8" s="507">
        <f>Import!G8</f>
        <v>0</v>
      </c>
      <c r="I8" s="158" t="s">
        <v>187</v>
      </c>
      <c r="J8" s="126"/>
      <c r="K8" s="128" t="s">
        <v>190</v>
      </c>
      <c r="L8" s="126"/>
      <c r="M8" s="157"/>
      <c r="N8" s="495"/>
      <c r="O8" s="498">
        <v>40</v>
      </c>
      <c r="P8" s="498">
        <v>7</v>
      </c>
      <c r="Q8" s="499"/>
      <c r="R8" s="498">
        <v>8</v>
      </c>
      <c r="S8" s="498">
        <v>2</v>
      </c>
      <c r="T8" s="495"/>
      <c r="U8" s="495"/>
      <c r="V8" s="495"/>
      <c r="W8" s="495"/>
      <c r="X8" s="495"/>
      <c r="Y8" s="274"/>
      <c r="Z8" s="274"/>
      <c r="AA8" s="274"/>
      <c r="AB8" s="274"/>
      <c r="AC8" s="274"/>
      <c r="AD8" s="274"/>
      <c r="AE8" s="274"/>
    </row>
    <row r="9" spans="1:36" s="117" customFormat="1" ht="21.9" customHeight="1" x14ac:dyDescent="0.4">
      <c r="B9" s="508" t="s">
        <v>181</v>
      </c>
      <c r="C9" s="509"/>
      <c r="D9" s="506" t="str">
        <f>Import!D9</f>
        <v>Strasse</v>
      </c>
      <c r="E9" s="510">
        <f>Import!E9</f>
        <v>0</v>
      </c>
      <c r="F9" s="127" t="str">
        <f>Import!F9</f>
        <v>Plz</v>
      </c>
      <c r="G9" s="124" t="str">
        <f>Import!G9</f>
        <v>Ort</v>
      </c>
      <c r="I9" s="156"/>
      <c r="M9" s="157"/>
      <c r="N9" s="495"/>
      <c r="O9" s="498">
        <v>48</v>
      </c>
      <c r="P9" s="498">
        <v>8</v>
      </c>
      <c r="Q9" s="499"/>
      <c r="R9" s="498">
        <v>8</v>
      </c>
      <c r="S9" s="498">
        <v>3</v>
      </c>
      <c r="T9" s="495"/>
      <c r="U9" s="495"/>
      <c r="V9" s="495"/>
      <c r="W9" s="495"/>
      <c r="X9" s="495"/>
      <c r="Y9" s="274"/>
      <c r="Z9" s="274"/>
      <c r="AA9" s="274"/>
      <c r="AB9" s="274"/>
      <c r="AC9" s="274"/>
      <c r="AD9" s="274"/>
      <c r="AE9" s="274"/>
    </row>
    <row r="10" spans="1:36" s="117" customFormat="1" ht="21.9" customHeight="1" x14ac:dyDescent="0.4">
      <c r="B10" s="508" t="s">
        <v>182</v>
      </c>
      <c r="C10" s="509"/>
      <c r="D10" s="506" t="str">
        <f>Import!D10</f>
        <v>E-Mail</v>
      </c>
      <c r="E10" s="510">
        <f>Import!E10</f>
        <v>0</v>
      </c>
      <c r="F10" s="507">
        <f>Import!F10</f>
        <v>0</v>
      </c>
      <c r="G10" s="124" t="str">
        <f>Import!G10</f>
        <v>Mobile</v>
      </c>
      <c r="I10" s="158" t="s">
        <v>189</v>
      </c>
      <c r="J10" s="126"/>
      <c r="K10" s="222" t="s">
        <v>280</v>
      </c>
      <c r="L10" s="126"/>
      <c r="M10" s="157"/>
      <c r="N10" s="495"/>
      <c r="O10" s="498">
        <v>55</v>
      </c>
      <c r="P10" s="498">
        <v>9</v>
      </c>
      <c r="Q10" s="499"/>
      <c r="R10" s="498">
        <v>7</v>
      </c>
      <c r="S10" s="498">
        <v>3</v>
      </c>
      <c r="T10" s="495"/>
      <c r="U10" s="495"/>
      <c r="V10" s="495"/>
      <c r="W10" s="495"/>
      <c r="X10" s="495"/>
      <c r="Y10" s="274"/>
      <c r="Z10" s="274"/>
      <c r="AA10" s="274"/>
      <c r="AB10" s="274"/>
      <c r="AC10" s="274"/>
      <c r="AD10" s="274"/>
      <c r="AE10" s="274"/>
    </row>
    <row r="11" spans="1:36" s="117" customFormat="1" ht="21.9" customHeight="1" x14ac:dyDescent="0.4">
      <c r="B11" s="508" t="s">
        <v>162</v>
      </c>
      <c r="C11" s="509"/>
      <c r="D11" s="506" t="str">
        <f>Import!D11</f>
        <v>Privat</v>
      </c>
      <c r="E11" s="507">
        <f>Import!E11</f>
        <v>0</v>
      </c>
      <c r="F11" s="506" t="str">
        <f>Import!F11</f>
        <v>Geschäft</v>
      </c>
      <c r="G11" s="507">
        <f>Import!G11</f>
        <v>0</v>
      </c>
      <c r="I11" s="158" t="s">
        <v>179</v>
      </c>
      <c r="J11" s="18">
        <f>IF(OR(J8=0,J4=0),0,IF(J4="P",J13,J13+J14))</f>
        <v>0</v>
      </c>
      <c r="K11" s="222" t="s">
        <v>281</v>
      </c>
      <c r="L11" s="18">
        <f>COUNT(F54:F56)</f>
        <v>0</v>
      </c>
      <c r="M11" s="157"/>
      <c r="N11" s="495"/>
      <c r="O11" s="498">
        <v>62</v>
      </c>
      <c r="P11" s="498">
        <v>10</v>
      </c>
      <c r="Q11" s="499"/>
      <c r="R11" s="498">
        <v>7</v>
      </c>
      <c r="S11" s="498">
        <v>3</v>
      </c>
      <c r="T11" s="495"/>
      <c r="U11" s="495"/>
      <c r="V11" s="495"/>
      <c r="W11" s="495"/>
      <c r="X11" s="495"/>
      <c r="Y11" s="274"/>
      <c r="Z11" s="274"/>
      <c r="AA11" s="274"/>
      <c r="AB11" s="274"/>
      <c r="AC11" s="274"/>
      <c r="AD11" s="274"/>
      <c r="AE11" s="274"/>
    </row>
    <row r="12" spans="1:36" ht="11.1" customHeight="1" x14ac:dyDescent="0.4">
      <c r="B12" s="129"/>
      <c r="C12" s="130"/>
      <c r="D12" s="131"/>
      <c r="E12" s="131"/>
      <c r="F12" s="131"/>
      <c r="G12" s="131"/>
      <c r="I12" s="159"/>
      <c r="J12" s="160"/>
      <c r="K12" s="160"/>
      <c r="L12" s="160"/>
      <c r="M12" s="161"/>
      <c r="O12" s="498">
        <v>69</v>
      </c>
      <c r="P12" s="498">
        <v>11</v>
      </c>
      <c r="Q12" s="499"/>
      <c r="R12" s="498">
        <v>7</v>
      </c>
      <c r="S12" s="498">
        <v>3</v>
      </c>
      <c r="T12" s="495"/>
      <c r="U12" s="495"/>
      <c r="V12" s="495"/>
      <c r="W12" s="495"/>
      <c r="X12" s="495"/>
      <c r="Y12" s="274"/>
      <c r="AA12" s="183"/>
      <c r="AB12" s="183"/>
      <c r="AC12" s="183"/>
      <c r="AD12" s="183"/>
      <c r="AE12" s="183"/>
    </row>
    <row r="13" spans="1:36" ht="21.9" customHeight="1" x14ac:dyDescent="0.4">
      <c r="B13" s="515" t="s">
        <v>171</v>
      </c>
      <c r="C13" s="516"/>
      <c r="D13" s="506" t="str">
        <f>Import!D13</f>
        <v>Vorname</v>
      </c>
      <c r="E13" s="507">
        <f>Import!E13</f>
        <v>0</v>
      </c>
      <c r="F13" s="510" t="str">
        <f>Import!F13</f>
        <v>Name</v>
      </c>
      <c r="G13" s="507">
        <f>Import!G13</f>
        <v>0</v>
      </c>
      <c r="I13" s="222" t="s">
        <v>217</v>
      </c>
      <c r="J13" s="226">
        <f>VLOOKUP(J8,$O$4:$P$15,2,1)</f>
        <v>0</v>
      </c>
      <c r="K13" s="222" t="s">
        <v>278</v>
      </c>
      <c r="L13" s="232">
        <f>VLOOKUP(J8,$O$4:$S$15,5,1)</f>
        <v>0</v>
      </c>
      <c r="M13" s="239"/>
      <c r="O13" s="498">
        <v>76</v>
      </c>
      <c r="P13" s="498">
        <v>12</v>
      </c>
      <c r="Q13" s="499"/>
      <c r="R13" s="498">
        <v>7</v>
      </c>
      <c r="S13" s="498">
        <v>3</v>
      </c>
      <c r="T13" s="495"/>
      <c r="U13" s="495"/>
      <c r="V13" s="495"/>
      <c r="W13" s="495"/>
      <c r="X13" s="495"/>
      <c r="AA13" s="183"/>
      <c r="AB13" s="183"/>
      <c r="AC13" s="183"/>
      <c r="AD13" s="183"/>
      <c r="AE13" s="183"/>
    </row>
    <row r="14" spans="1:36" ht="21.9" customHeight="1" x14ac:dyDescent="0.25">
      <c r="B14" s="508" t="s">
        <v>158</v>
      </c>
      <c r="C14" s="509"/>
      <c r="D14" s="506" t="str">
        <f>Import!D14</f>
        <v>Strasse</v>
      </c>
      <c r="E14" s="510">
        <f>Import!E14</f>
        <v>0</v>
      </c>
      <c r="F14" s="127" t="str">
        <f>Import!F14</f>
        <v>Plz</v>
      </c>
      <c r="G14" s="124" t="str">
        <f>Import!G14</f>
        <v>Ort</v>
      </c>
      <c r="I14" s="222" t="s">
        <v>218</v>
      </c>
      <c r="J14" s="226">
        <f>IF(OR(J4&lt;&gt;"S",J8&lt;19),0,IF(J8&gt;41,3,IF(J8&gt;23,2,1)))</f>
        <v>0</v>
      </c>
      <c r="K14" s="222" t="s">
        <v>290</v>
      </c>
      <c r="L14" s="275" t="str">
        <f>IF(L10&lt;2,"Nein","Ja")</f>
        <v>Nein</v>
      </c>
      <c r="M14" s="239"/>
      <c r="O14" s="498">
        <v>83</v>
      </c>
      <c r="P14" s="498">
        <v>13</v>
      </c>
      <c r="Q14" s="499"/>
      <c r="R14" s="498">
        <v>7</v>
      </c>
      <c r="S14" s="498">
        <v>3</v>
      </c>
      <c r="AA14" s="183"/>
      <c r="AB14" s="183"/>
      <c r="AC14" s="183"/>
      <c r="AD14" s="183"/>
      <c r="AE14" s="183"/>
    </row>
    <row r="15" spans="1:36" s="117" customFormat="1" ht="21.9" customHeight="1" x14ac:dyDescent="0.4">
      <c r="B15" s="508" t="s">
        <v>159</v>
      </c>
      <c r="C15" s="509"/>
      <c r="D15" s="506" t="str">
        <f>Import!D15</f>
        <v>E-Mail</v>
      </c>
      <c r="E15" s="510">
        <f>Import!E15</f>
        <v>0</v>
      </c>
      <c r="F15" s="507">
        <f>Import!F15</f>
        <v>0</v>
      </c>
      <c r="G15" s="124" t="str">
        <f>Import!G15</f>
        <v>Mobile</v>
      </c>
      <c r="I15" s="242" t="str">
        <f>IF(J10&gt;J11,"ACHTUNG: es können nur bewilligte zuslätzliche Leiterpersonen abgerechnet werden","")</f>
        <v/>
      </c>
      <c r="J15" s="239"/>
      <c r="K15" s="239"/>
      <c r="L15" s="243"/>
      <c r="M15" s="243"/>
      <c r="N15" s="502"/>
      <c r="O15" s="498">
        <v>90</v>
      </c>
      <c r="P15" s="498">
        <v>14</v>
      </c>
      <c r="Q15" s="499"/>
      <c r="R15" s="498">
        <v>7</v>
      </c>
      <c r="S15" s="498">
        <v>3</v>
      </c>
      <c r="T15" s="197"/>
      <c r="U15" s="197"/>
      <c r="V15" s="197"/>
      <c r="W15" s="197"/>
      <c r="X15" s="197"/>
      <c r="Y15" s="183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</row>
    <row r="16" spans="1:36" s="117" customFormat="1" ht="21.9" customHeight="1" x14ac:dyDescent="0.4">
      <c r="B16" s="508" t="s">
        <v>162</v>
      </c>
      <c r="C16" s="509"/>
      <c r="D16" s="506" t="str">
        <f>Import!D16</f>
        <v>Privat</v>
      </c>
      <c r="E16" s="507">
        <f>Import!E16</f>
        <v>0</v>
      </c>
      <c r="F16" s="506" t="str">
        <f>Import!F16</f>
        <v>Geschäft</v>
      </c>
      <c r="G16" s="507">
        <f>Import!G16</f>
        <v>0</v>
      </c>
      <c r="I16" s="242" t="str">
        <f>IF(J10&gt;J11,"Sende bitte eine E-Mail mit kurzer Begründung an:","")</f>
        <v/>
      </c>
      <c r="J16" s="243"/>
      <c r="K16" s="239"/>
      <c r="L16" s="242"/>
      <c r="M16" s="243"/>
      <c r="N16" s="503"/>
      <c r="O16" s="197"/>
      <c r="P16" s="178"/>
      <c r="Q16" s="177"/>
      <c r="R16" s="197"/>
      <c r="S16" s="177" t="s">
        <v>293</v>
      </c>
      <c r="T16" s="197"/>
      <c r="U16" s="197"/>
      <c r="V16" s="197"/>
      <c r="W16" s="197"/>
      <c r="X16" s="197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</row>
    <row r="17" spans="1:36" s="117" customFormat="1" ht="11.1" customHeight="1" x14ac:dyDescent="0.4">
      <c r="B17" s="132"/>
      <c r="C17" s="131"/>
      <c r="D17" s="131"/>
      <c r="E17" s="131"/>
      <c r="F17" s="131"/>
      <c r="G17" s="131"/>
      <c r="H17" s="131"/>
      <c r="I17" s="274"/>
      <c r="J17" s="274"/>
      <c r="K17" s="274"/>
      <c r="L17" s="274"/>
      <c r="M17" s="274"/>
      <c r="N17" s="495"/>
      <c r="O17" s="495"/>
      <c r="P17" s="504" t="s">
        <v>294</v>
      </c>
      <c r="Q17" s="495"/>
      <c r="R17" s="494"/>
      <c r="S17" s="498">
        <f>IF(AND(L14="Ja",L10&gt;1),1,0)</f>
        <v>0</v>
      </c>
      <c r="T17" s="495"/>
      <c r="U17" s="495"/>
      <c r="V17" s="495"/>
      <c r="W17" s="495"/>
      <c r="X17" s="495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</row>
    <row r="18" spans="1:36" s="119" customFormat="1" ht="21.9" customHeight="1" x14ac:dyDescent="0.4">
      <c r="B18" s="133" t="s">
        <v>183</v>
      </c>
      <c r="C18" s="134"/>
      <c r="D18" s="241" t="s">
        <v>165</v>
      </c>
      <c r="E18" s="131"/>
      <c r="F18" s="131"/>
      <c r="G18" s="131"/>
      <c r="I18" s="247"/>
      <c r="J18" s="247"/>
      <c r="K18" s="247"/>
      <c r="L18" s="247"/>
      <c r="M18" s="247"/>
      <c r="N18" s="494"/>
      <c r="O18" s="495"/>
      <c r="P18" s="495"/>
      <c r="Q18" s="495"/>
      <c r="R18" s="495"/>
      <c r="S18" s="498"/>
      <c r="T18" s="495"/>
      <c r="U18" s="495"/>
      <c r="V18" s="495"/>
      <c r="W18" s="495"/>
      <c r="X18" s="495"/>
      <c r="Y18" s="274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</row>
    <row r="19" spans="1:36" s="119" customFormat="1" ht="21.9" customHeight="1" x14ac:dyDescent="0.4">
      <c r="B19" s="511" t="s">
        <v>166</v>
      </c>
      <c r="C19" s="512"/>
      <c r="D19" s="506">
        <f>Import!D19</f>
        <v>0</v>
      </c>
      <c r="E19" s="510">
        <f>Import!E19</f>
        <v>0</v>
      </c>
      <c r="F19" s="510">
        <f>Import!F19</f>
        <v>0</v>
      </c>
      <c r="G19" s="507">
        <f>Import!G19</f>
        <v>0</v>
      </c>
      <c r="H19" s="131"/>
      <c r="I19" s="260" t="str">
        <f>IF(S17&lt;1,"Bitte wende dich an den J&amp;S Coach wir wollen nur noch J&amp;S Lager durchführen können",IF(S22&lt;2,"Damit dein Lager in der J&amp;S DB registrieren können, benötigen wir noch: "))</f>
        <v>Bitte wende dich an den J&amp;S Coach wir wollen nur noch J&amp;S Lager durchführen können</v>
      </c>
      <c r="J19" s="260"/>
      <c r="K19" s="260"/>
      <c r="L19" s="260"/>
      <c r="M19" s="260"/>
      <c r="N19" s="505"/>
      <c r="O19" s="495"/>
      <c r="P19" s="504" t="s">
        <v>292</v>
      </c>
      <c r="Q19" s="495"/>
      <c r="R19" s="498">
        <f>COUNTIF(F30:F50,"j")</f>
        <v>0</v>
      </c>
      <c r="S19" s="498">
        <f>IF(R19&lt;2,1,0)*S17</f>
        <v>0</v>
      </c>
      <c r="T19" s="495"/>
      <c r="U19" s="495"/>
      <c r="V19" s="495"/>
      <c r="W19" s="495"/>
      <c r="X19" s="495"/>
      <c r="Y19" s="247"/>
      <c r="Z19" s="247"/>
      <c r="AA19" s="247"/>
      <c r="AB19" s="247"/>
      <c r="AC19" s="247"/>
      <c r="AD19" s="247"/>
      <c r="AE19" s="247"/>
      <c r="AF19" s="247"/>
      <c r="AG19" s="247"/>
      <c r="AH19" s="247"/>
      <c r="AI19" s="247"/>
      <c r="AJ19" s="247"/>
    </row>
    <row r="20" spans="1:36" s="119" customFormat="1" ht="21.9" customHeight="1" x14ac:dyDescent="0.3">
      <c r="B20" s="514" t="s">
        <v>116</v>
      </c>
      <c r="C20" s="513"/>
      <c r="D20" s="135"/>
      <c r="E20" s="135"/>
      <c r="F20" s="135"/>
      <c r="G20" s="135"/>
      <c r="H20" s="131"/>
      <c r="I20" s="119" t="str">
        <f>IF(S19=0,""," - mind. 2 J&amp;S Leitpersonen")</f>
        <v/>
      </c>
      <c r="J20" s="258"/>
      <c r="K20" s="260"/>
      <c r="L20" s="260"/>
      <c r="M20" s="260"/>
      <c r="N20" s="505"/>
      <c r="O20" s="494"/>
      <c r="P20" s="504" t="s">
        <v>395</v>
      </c>
      <c r="Q20" s="494"/>
      <c r="R20" s="498">
        <f>COUNT(K30:K50)</f>
        <v>0</v>
      </c>
      <c r="S20" s="498">
        <f>IF(R20&lt;2,1,0)*S17</f>
        <v>0</v>
      </c>
      <c r="T20" s="494"/>
      <c r="U20" s="494"/>
      <c r="V20" s="494"/>
      <c r="W20" s="494"/>
      <c r="X20" s="494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7"/>
    </row>
    <row r="21" spans="1:36" s="119" customFormat="1" ht="21.9" customHeight="1" x14ac:dyDescent="0.3">
      <c r="B21" s="511" t="s">
        <v>167</v>
      </c>
      <c r="C21" s="512"/>
      <c r="D21" s="530">
        <f>Import!D21</f>
        <v>0</v>
      </c>
      <c r="E21" s="531">
        <f>Import!E21</f>
        <v>0</v>
      </c>
      <c r="F21" s="531">
        <f>Import!F21</f>
        <v>0</v>
      </c>
      <c r="G21" s="532">
        <f>Import!G21</f>
        <v>0</v>
      </c>
      <c r="H21" s="131"/>
      <c r="I21" s="260" t="str">
        <f>IF(S20=0,""," - die AHV-Nr. von mind. 2 J&amp;S Leitpersonen")</f>
        <v/>
      </c>
      <c r="J21" s="259"/>
      <c r="K21" s="260"/>
      <c r="L21" s="260"/>
      <c r="M21" s="259"/>
      <c r="N21" s="505"/>
      <c r="O21" s="494"/>
      <c r="P21" s="504" t="s">
        <v>291</v>
      </c>
      <c r="Q21" s="494"/>
      <c r="R21" s="498">
        <f>COUNTIF(K30:K50,"x")</f>
        <v>0</v>
      </c>
      <c r="S21" s="498">
        <f>IF(R21=1,0,1)*S17</f>
        <v>0</v>
      </c>
      <c r="T21" s="494"/>
      <c r="U21" s="494"/>
      <c r="V21" s="494"/>
      <c r="W21" s="494"/>
      <c r="X21" s="494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247"/>
      <c r="AJ21" s="247"/>
    </row>
    <row r="22" spans="1:36" s="119" customFormat="1" ht="21.9" customHeight="1" x14ac:dyDescent="0.25">
      <c r="B22" s="511" t="s">
        <v>115</v>
      </c>
      <c r="C22" s="512"/>
      <c r="D22" s="533">
        <f>Import!D22</f>
        <v>0</v>
      </c>
      <c r="E22" s="534">
        <f>Import!E22</f>
        <v>0</v>
      </c>
      <c r="F22" s="534">
        <f>Import!F22</f>
        <v>0</v>
      </c>
      <c r="G22" s="535">
        <f>Import!G22</f>
        <v>0</v>
      </c>
      <c r="I22" s="260" t="str">
        <f>IF(S21=0,""," - den zuständigen Person für den J&amp;S Sport DB Zugang.")</f>
        <v/>
      </c>
      <c r="J22" s="247"/>
      <c r="K22" s="247"/>
      <c r="L22" s="247"/>
      <c r="M22" s="239"/>
      <c r="N22" s="494"/>
      <c r="O22" s="494"/>
      <c r="P22" s="496" t="s">
        <v>28</v>
      </c>
      <c r="Q22" s="494"/>
      <c r="R22" s="496"/>
      <c r="S22" s="496">
        <f>SUM(S19:S21)</f>
        <v>0</v>
      </c>
      <c r="T22" s="494"/>
      <c r="U22" s="494"/>
      <c r="V22" s="494"/>
      <c r="W22" s="494"/>
      <c r="X22" s="494"/>
      <c r="Y22" s="247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</row>
    <row r="23" spans="1:36" s="119" customFormat="1" ht="21.9" customHeight="1" x14ac:dyDescent="0.3">
      <c r="B23" s="511" t="s">
        <v>168</v>
      </c>
      <c r="C23" s="512"/>
      <c r="D23" s="127" t="str">
        <f>Import!D23</f>
        <v>Plz</v>
      </c>
      <c r="E23" s="506" t="str">
        <f>Import!E23</f>
        <v>Ort</v>
      </c>
      <c r="F23" s="510">
        <f>Import!F23</f>
        <v>0</v>
      </c>
      <c r="G23" s="507">
        <f>Import!G23</f>
        <v>0</v>
      </c>
      <c r="H23" s="131"/>
      <c r="I23" s="260" t="str">
        <f>IF(S17=0,""," - Wochenprogramm einreichen (bis spätestens 5 Wochen vor Lagerbeginn).")</f>
        <v/>
      </c>
      <c r="J23" s="231"/>
      <c r="K23" s="247"/>
      <c r="L23" s="247"/>
      <c r="M23" s="247"/>
      <c r="N23" s="494"/>
      <c r="O23" s="504"/>
      <c r="P23" s="494"/>
      <c r="Q23" s="494"/>
      <c r="R23" s="498"/>
      <c r="S23" s="494"/>
      <c r="T23" s="494"/>
      <c r="U23" s="494"/>
      <c r="V23" s="494"/>
      <c r="W23" s="494"/>
      <c r="X23" s="494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</row>
    <row r="24" spans="1:36" s="119" customFormat="1" ht="21.9" customHeight="1" x14ac:dyDescent="0.3">
      <c r="B24" s="513" t="s">
        <v>169</v>
      </c>
      <c r="C24" s="513"/>
      <c r="D24" s="136"/>
      <c r="E24" s="136"/>
      <c r="F24" s="136"/>
      <c r="G24" s="136"/>
      <c r="H24" s="131"/>
      <c r="I24" s="273" t="str">
        <f>IF(S17=0,"",HYPERLINK("https://www.schneezueri.ch/leiter-innen/wegleitung-formulare;""LinkWochenprogramm"))</f>
        <v/>
      </c>
      <c r="J24" s="231"/>
      <c r="K24" s="247"/>
      <c r="L24" s="247"/>
      <c r="M24" s="247"/>
      <c r="N24" s="494"/>
      <c r="O24" s="494"/>
      <c r="P24" s="494"/>
      <c r="Q24" s="494"/>
      <c r="R24" s="494"/>
      <c r="S24" s="494"/>
      <c r="T24" s="494"/>
      <c r="U24" s="494"/>
      <c r="V24" s="494"/>
      <c r="W24" s="494"/>
      <c r="X24" s="494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</row>
    <row r="25" spans="1:36" ht="21.9" customHeight="1" x14ac:dyDescent="0.25">
      <c r="B25" s="511" t="s">
        <v>113</v>
      </c>
      <c r="C25" s="512"/>
      <c r="D25" s="506" t="str">
        <f>+D8</f>
        <v>Vorname</v>
      </c>
      <c r="E25" s="510"/>
      <c r="F25" s="506" t="str">
        <f>+F8</f>
        <v>Name</v>
      </c>
      <c r="G25" s="507"/>
      <c r="I25" s="183"/>
      <c r="J25" s="231"/>
      <c r="K25" s="183"/>
      <c r="L25" s="183"/>
      <c r="M25" s="183"/>
      <c r="O25" s="494"/>
      <c r="P25" s="494"/>
      <c r="Q25" s="494"/>
      <c r="R25" s="494"/>
      <c r="S25" s="494"/>
      <c r="T25" s="494"/>
      <c r="U25" s="494"/>
      <c r="V25" s="494"/>
      <c r="W25" s="494"/>
      <c r="X25" s="494"/>
      <c r="Y25" s="247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</row>
    <row r="26" spans="1:36" ht="21.9" customHeight="1" x14ac:dyDescent="0.25">
      <c r="B26" s="511" t="s">
        <v>170</v>
      </c>
      <c r="C26" s="512"/>
      <c r="D26" s="127" t="str">
        <f>F9</f>
        <v>Plz</v>
      </c>
      <c r="E26" s="506" t="str">
        <f>G9</f>
        <v>Ort</v>
      </c>
      <c r="F26" s="510"/>
      <c r="G26" s="507"/>
      <c r="J26" s="263"/>
      <c r="K26" s="263" t="str">
        <f>IF(AND(S17=1,S22=0),"Perfekt, du hast alle benötigten J&amp;S Daten eingetragen","")</f>
        <v/>
      </c>
      <c r="O26" s="494"/>
      <c r="P26" s="494"/>
      <c r="Q26" s="494"/>
      <c r="R26" s="494"/>
      <c r="S26" s="494"/>
      <c r="T26" s="494"/>
      <c r="U26" s="494"/>
      <c r="V26" s="494"/>
      <c r="W26" s="494"/>
      <c r="X26" s="494"/>
    </row>
    <row r="27" spans="1:36" x14ac:dyDescent="0.25">
      <c r="C27" s="462">
        <v>2</v>
      </c>
      <c r="D27" s="462"/>
      <c r="E27" s="462"/>
      <c r="F27" s="462">
        <v>7</v>
      </c>
      <c r="G27" s="462">
        <v>13</v>
      </c>
      <c r="H27" s="462"/>
      <c r="I27" s="462"/>
      <c r="J27" s="463"/>
      <c r="K27" s="462">
        <v>5</v>
      </c>
    </row>
    <row r="28" spans="1:36" ht="21" customHeight="1" x14ac:dyDescent="0.25">
      <c r="A28" s="468" t="s">
        <v>3179</v>
      </c>
      <c r="B28" s="140" t="s">
        <v>184</v>
      </c>
      <c r="C28" s="141"/>
      <c r="D28" s="141"/>
      <c r="E28" s="141"/>
      <c r="F28" s="141"/>
      <c r="G28" s="141"/>
      <c r="H28" s="141"/>
      <c r="I28" s="142"/>
      <c r="J28" s="256"/>
      <c r="K28" s="256"/>
    </row>
    <row r="29" spans="1:36" x14ac:dyDescent="0.25">
      <c r="B29" s="180" t="s">
        <v>208</v>
      </c>
      <c r="C29" s="527" t="s">
        <v>185</v>
      </c>
      <c r="D29" s="528"/>
      <c r="E29" s="528"/>
      <c r="F29" s="31" t="s">
        <v>186</v>
      </c>
      <c r="G29" s="138" t="s">
        <v>35</v>
      </c>
      <c r="H29" s="139"/>
      <c r="I29" s="139"/>
      <c r="J29" s="365" t="s">
        <v>295</v>
      </c>
      <c r="K29" s="257" t="s">
        <v>394</v>
      </c>
    </row>
    <row r="30" spans="1:36" ht="23.25" customHeight="1" x14ac:dyDescent="0.25">
      <c r="A30" s="469" t="str">
        <f>IF(D8="vorname","",A8)</f>
        <v/>
      </c>
      <c r="B30" s="181" t="s">
        <v>107</v>
      </c>
      <c r="C30" s="529" t="str">
        <f>IF(D8="vorname","Hauptleitung",F8&amp;" " &amp;D8)</f>
        <v>Hauptleitung</v>
      </c>
      <c r="D30" s="525"/>
      <c r="E30" s="526"/>
      <c r="F30" s="65" t="str">
        <f>IF($A30="","",IF(VLOOKUP($A30,Tabelle1[#Data],F$27,0)="","n","j"))</f>
        <v/>
      </c>
      <c r="G30" s="237" t="str">
        <f>IF(D10="e-mail","",D10)</f>
        <v/>
      </c>
      <c r="H30" s="238"/>
      <c r="I30" s="238"/>
      <c r="J30" s="264"/>
      <c r="K30" s="262"/>
    </row>
    <row r="31" spans="1:36" ht="23.25" customHeight="1" x14ac:dyDescent="0.25">
      <c r="A31" s="232" t="str">
        <f>IF(Import!A31="","",Import!A31)</f>
        <v/>
      </c>
      <c r="B31" s="181" t="s">
        <v>108</v>
      </c>
      <c r="C31" s="529" t="str">
        <f>IF(J4="P","Kein " &amp;B31,IF($A31="",B31,VLOOKUP($A31,Tabelle1[#Data],C$27,0)))</f>
        <v>Küchenchef</v>
      </c>
      <c r="D31" s="525"/>
      <c r="E31" s="525"/>
      <c r="F31" s="261" t="str">
        <f>IF($A31="","",IF(VLOOKUP($A31,Tabelle1[#Data],F$27,0)="","n","j"))</f>
        <v/>
      </c>
      <c r="G31" s="237" t="str">
        <f>IF($A31="","",IF(VLOOKUP($A31,Tabelle1[#Data],G$27,0)="",VLOOKUP($A31,Tabelle1[#Data],G$27+1,0),VLOOKUP($A31,Tabelle1[#Data],G$27,0)))</f>
        <v/>
      </c>
      <c r="H31" s="238"/>
      <c r="I31" s="238"/>
      <c r="J31" s="233"/>
      <c r="K31" s="226"/>
      <c r="L31" s="183"/>
      <c r="M31" s="183"/>
    </row>
    <row r="32" spans="1:36" ht="23.25" customHeight="1" x14ac:dyDescent="0.25">
      <c r="A32" s="232" t="str">
        <f>IF(Import!A32="","",Import!A32)</f>
        <v/>
      </c>
      <c r="B32" s="181" t="s">
        <v>109</v>
      </c>
      <c r="C32" s="360" t="str">
        <f>IF($A32="",B32,VLOOKUP($A32,Tabelle1[#Data],C$27,0))</f>
        <v>MitleiterIn</v>
      </c>
      <c r="D32" s="361"/>
      <c r="E32" s="361"/>
      <c r="F32" s="261" t="str">
        <f>IF($A32="","",IF(VLOOKUP($A32,Tabelle1[#Data],F$27,0)="","n","j"))</f>
        <v/>
      </c>
      <c r="G32" s="237" t="str">
        <f>IF($A32="","",IF(VLOOKUP($A32,Tabelle1[#Data],G$27,0)="",VLOOKUP($A32,Tabelle1[#Data],G$27+1,0),VLOOKUP($A32,Tabelle1[#Data],G$27,0)))</f>
        <v/>
      </c>
      <c r="H32" s="238"/>
      <c r="I32" s="238"/>
      <c r="J32" s="264"/>
      <c r="K32" s="262" t="str">
        <f>IF($F32="j",VLOOKUP($A32,Tabelle1[#Data],K$27,0),"")</f>
        <v/>
      </c>
      <c r="L32" s="183"/>
      <c r="M32" s="183"/>
    </row>
    <row r="33" spans="1:13" ht="23.25" customHeight="1" x14ac:dyDescent="0.25">
      <c r="A33" s="232" t="str">
        <f>IF(Import!A33="","",Import!A33)</f>
        <v/>
      </c>
      <c r="B33" s="181" t="s">
        <v>109</v>
      </c>
      <c r="C33" s="360" t="str">
        <f>IF($A33="",B33,VLOOKUP($A33,Tabelle1[#Data],C$27,0))</f>
        <v>MitleiterIn</v>
      </c>
      <c r="D33" s="361"/>
      <c r="E33" s="361"/>
      <c r="F33" s="261" t="str">
        <f>IF($A33="","",IF(VLOOKUP($A33,Tabelle1[#Data],F$27,0)="","n","j"))</f>
        <v/>
      </c>
      <c r="G33" s="237" t="str">
        <f>IF($A33="","",IF(VLOOKUP($A33,Tabelle1[#Data],G$27,0)="",VLOOKUP($A33,Tabelle1[#Data],G$27+1,0),VLOOKUP($A33,Tabelle1[#Data],G$27,0)))</f>
        <v/>
      </c>
      <c r="H33" s="238"/>
      <c r="I33" s="238"/>
      <c r="J33" s="264"/>
      <c r="K33" s="262" t="str">
        <f>IF($F33="j",VLOOKUP($A33,Tabelle1[#Data],K$27,0),"")</f>
        <v/>
      </c>
      <c r="L33" s="183"/>
      <c r="M33" s="183"/>
    </row>
    <row r="34" spans="1:13" ht="23.25" customHeight="1" x14ac:dyDescent="0.25">
      <c r="A34" s="232" t="str">
        <f>IF(Import!A34="","",Import!A34)</f>
        <v/>
      </c>
      <c r="B34" s="181" t="s">
        <v>109</v>
      </c>
      <c r="C34" s="360" t="str">
        <f>IF($A34="",B34,VLOOKUP($A34,Tabelle1[#Data],C$27,0))</f>
        <v>MitleiterIn</v>
      </c>
      <c r="D34" s="361"/>
      <c r="E34" s="361"/>
      <c r="F34" s="261" t="str">
        <f>IF($A34="","",IF(VLOOKUP($A34,Tabelle1[#Data],F$27,0)="","n","j"))</f>
        <v/>
      </c>
      <c r="G34" s="237" t="str">
        <f>IF($A34="","",IF(VLOOKUP($A34,Tabelle1[#Data],G$27,0)="",VLOOKUP($A34,Tabelle1[#Data],G$27+1,0),VLOOKUP($A34,Tabelle1[#Data],G$27,0)))</f>
        <v/>
      </c>
      <c r="H34" s="238"/>
      <c r="I34" s="238"/>
      <c r="J34" s="264"/>
      <c r="K34" s="262" t="str">
        <f>IF($F34="j",VLOOKUP($A34,Tabelle1[#Data],K$27,0),"")</f>
        <v/>
      </c>
    </row>
    <row r="35" spans="1:13" ht="23.25" customHeight="1" x14ac:dyDescent="0.25">
      <c r="A35" s="232" t="str">
        <f>IF(Import!A35="","",Import!A35)</f>
        <v/>
      </c>
      <c r="B35" s="181" t="s">
        <v>109</v>
      </c>
      <c r="C35" s="360" t="str">
        <f>IF($A35="",B35,VLOOKUP($A35,Tabelle1[#Data],C$27,0))</f>
        <v>MitleiterIn</v>
      </c>
      <c r="D35" s="361"/>
      <c r="E35" s="361"/>
      <c r="F35" s="261" t="str">
        <f>IF($A35="","",IF(VLOOKUP($A35,Tabelle1[#Data],F$27,0)="","n","j"))</f>
        <v/>
      </c>
      <c r="G35" s="237" t="str">
        <f>IF($A35="","",IF(VLOOKUP($A35,Tabelle1[#Data],G$27,0)="",VLOOKUP($A35,Tabelle1[#Data],G$27+1,0),VLOOKUP($A35,Tabelle1[#Data],G$27,0)))</f>
        <v/>
      </c>
      <c r="H35" s="238"/>
      <c r="I35" s="238"/>
      <c r="J35" s="264"/>
      <c r="K35" s="262" t="str">
        <f>IF($F35="j",VLOOKUP($A35,Tabelle1[#Data],K$27,0),"")</f>
        <v/>
      </c>
    </row>
    <row r="36" spans="1:13" ht="23.25" customHeight="1" x14ac:dyDescent="0.25">
      <c r="A36" s="232" t="str">
        <f>IF(Import!A36="","",Import!A36)</f>
        <v/>
      </c>
      <c r="B36" s="181" t="s">
        <v>109</v>
      </c>
      <c r="C36" s="360" t="str">
        <f>IF($A36="",B36,VLOOKUP($A36,Tabelle1[#Data],C$27,0))</f>
        <v>MitleiterIn</v>
      </c>
      <c r="D36" s="361"/>
      <c r="E36" s="361"/>
      <c r="F36" s="261" t="str">
        <f>IF($A36="","",IF(VLOOKUP($A36,Tabelle1[#Data],F$27,0)="","n","j"))</f>
        <v/>
      </c>
      <c r="G36" s="237" t="str">
        <f>IF($A36="","",IF(VLOOKUP($A36,Tabelle1[#Data],G$27,0)="",VLOOKUP($A36,Tabelle1[#Data],G$27+1,0),VLOOKUP($A36,Tabelle1[#Data],G$27,0)))</f>
        <v/>
      </c>
      <c r="H36" s="238"/>
      <c r="I36" s="238"/>
      <c r="J36" s="264"/>
      <c r="K36" s="262" t="str">
        <f>IF($F36="j",VLOOKUP($A36,Tabelle1[#Data],K$27,0),"")</f>
        <v/>
      </c>
    </row>
    <row r="37" spans="1:13" ht="23.25" customHeight="1" x14ac:dyDescent="0.25">
      <c r="A37" s="232" t="str">
        <f>IF(Import!A37="","",Import!A37)</f>
        <v/>
      </c>
      <c r="B37" s="181" t="s">
        <v>109</v>
      </c>
      <c r="C37" s="360" t="str">
        <f>IF($A37="",B37,VLOOKUP($A37,Tabelle1[#Data],C$27,0))</f>
        <v>MitleiterIn</v>
      </c>
      <c r="D37" s="361"/>
      <c r="E37" s="361"/>
      <c r="F37" s="261" t="str">
        <f>IF($A37="","",IF(VLOOKUP($A37,Tabelle1[#Data],F$27,0)="","n","j"))</f>
        <v/>
      </c>
      <c r="G37" s="237" t="str">
        <f>IF($A37="","",IF(VLOOKUP($A37,Tabelle1[#Data],G$27,0)="",VLOOKUP($A37,Tabelle1[#Data],G$27+1,0),VLOOKUP($A37,Tabelle1[#Data],G$27,0)))</f>
        <v/>
      </c>
      <c r="H37" s="238"/>
      <c r="I37" s="238"/>
      <c r="J37" s="264"/>
      <c r="K37" s="262" t="str">
        <f>IF($F37="j",VLOOKUP($A37,Tabelle1[#Data],K$27,0),"")</f>
        <v/>
      </c>
    </row>
    <row r="38" spans="1:13" ht="23.25" customHeight="1" x14ac:dyDescent="0.25">
      <c r="A38" s="232" t="str">
        <f>IF(Import!A38="","",Import!A38)</f>
        <v/>
      </c>
      <c r="B38" s="181" t="s">
        <v>109</v>
      </c>
      <c r="C38" s="360" t="str">
        <f>IF($A38="",B38,VLOOKUP($A38,Tabelle1[#Data],C$27,0))</f>
        <v>MitleiterIn</v>
      </c>
      <c r="D38" s="361"/>
      <c r="E38" s="361"/>
      <c r="F38" s="261" t="str">
        <f>IF($A38="","",IF(VLOOKUP($A38,Tabelle1[#Data],F$27,0)="","n","j"))</f>
        <v/>
      </c>
      <c r="G38" s="237" t="str">
        <f>IF($A38="","",IF(VLOOKUP($A38,Tabelle1[#Data],G$27,0)="",VLOOKUP($A38,Tabelle1[#Data],G$27+1,0),VLOOKUP($A38,Tabelle1[#Data],G$27,0)))</f>
        <v/>
      </c>
      <c r="H38" s="238"/>
      <c r="I38" s="238"/>
      <c r="J38" s="264"/>
      <c r="K38" s="262" t="str">
        <f>IF($F38="j",VLOOKUP($A38,Tabelle1[#Data],K$27,0),"")</f>
        <v/>
      </c>
    </row>
    <row r="39" spans="1:13" ht="23.25" customHeight="1" x14ac:dyDescent="0.25">
      <c r="A39" s="232" t="str">
        <f>IF(Import!A39="","",Import!A39)</f>
        <v/>
      </c>
      <c r="B39" s="181" t="s">
        <v>109</v>
      </c>
      <c r="C39" s="360" t="str">
        <f>IF($A39="",B39,VLOOKUP($A39,Tabelle1[#Data],C$27,0))</f>
        <v>MitleiterIn</v>
      </c>
      <c r="D39" s="361"/>
      <c r="E39" s="361"/>
      <c r="F39" s="261" t="str">
        <f>IF($A39="","",IF(VLOOKUP($A39,Tabelle1[#Data],F$27,0)="","n","j"))</f>
        <v/>
      </c>
      <c r="G39" s="237" t="str">
        <f>IF($A39="","",IF(VLOOKUP($A39,Tabelle1[#Data],G$27,0)="",VLOOKUP($A39,Tabelle1[#Data],G$27+1,0),VLOOKUP($A39,Tabelle1[#Data],G$27,0)))</f>
        <v/>
      </c>
      <c r="H39" s="238"/>
      <c r="I39" s="238"/>
      <c r="J39" s="264"/>
      <c r="K39" s="262" t="str">
        <f>IF($F39="j",VLOOKUP($A39,Tabelle1[#Data],K$27,0),"")</f>
        <v/>
      </c>
    </row>
    <row r="40" spans="1:13" ht="23.25" customHeight="1" x14ac:dyDescent="0.25">
      <c r="A40" s="232" t="str">
        <f>IF(Import!A40="","",Import!A40)</f>
        <v/>
      </c>
      <c r="B40" s="181" t="s">
        <v>109</v>
      </c>
      <c r="C40" s="360" t="str">
        <f>IF($A40="",B40,VLOOKUP($A40,Tabelle1[#Data],C$27,0))</f>
        <v>MitleiterIn</v>
      </c>
      <c r="D40" s="361"/>
      <c r="E40" s="361"/>
      <c r="F40" s="261" t="str">
        <f>IF($A40="","",IF(VLOOKUP($A40,Tabelle1[#Data],F$27,0)="","n","j"))</f>
        <v/>
      </c>
      <c r="G40" s="237" t="str">
        <f>IF($A40="","",IF(VLOOKUP($A40,Tabelle1[#Data],G$27,0)="",VLOOKUP($A40,Tabelle1[#Data],G$27+1,0),VLOOKUP($A40,Tabelle1[#Data],G$27,0)))</f>
        <v/>
      </c>
      <c r="H40" s="238"/>
      <c r="I40" s="238"/>
      <c r="J40" s="264"/>
      <c r="K40" s="262" t="str">
        <f>IF($F40="j",VLOOKUP($A40,Tabelle1[#Data],K$27,0),"")</f>
        <v/>
      </c>
    </row>
    <row r="41" spans="1:13" ht="23.25" customHeight="1" x14ac:dyDescent="0.25">
      <c r="A41" s="232" t="str">
        <f>IF(Import!A41="","",Import!A41)</f>
        <v/>
      </c>
      <c r="B41" s="181" t="s">
        <v>109</v>
      </c>
      <c r="C41" s="360" t="str">
        <f>IF($A41="",B41,VLOOKUP($A41,Tabelle1[#Data],C$27,0))</f>
        <v>MitleiterIn</v>
      </c>
      <c r="D41" s="361"/>
      <c r="E41" s="361"/>
      <c r="F41" s="261" t="str">
        <f>IF($A41="","",IF(VLOOKUP($A41,Tabelle1[#Data],F$27,0)="","n","j"))</f>
        <v/>
      </c>
      <c r="G41" s="237" t="str">
        <f>IF($A41="","",IF(VLOOKUP($A41,Tabelle1[#Data],G$27,0)="",VLOOKUP($A41,Tabelle1[#Data],G$27+1,0),VLOOKUP($A41,Tabelle1[#Data],G$27,0)))</f>
        <v/>
      </c>
      <c r="H41" s="238"/>
      <c r="I41" s="238"/>
      <c r="J41" s="264"/>
      <c r="K41" s="262" t="str">
        <f>IF($F41="j",VLOOKUP($A41,Tabelle1[#Data],K$27,0),"")</f>
        <v/>
      </c>
    </row>
    <row r="42" spans="1:13" ht="23.25" customHeight="1" x14ac:dyDescent="0.25">
      <c r="A42" s="232" t="str">
        <f>IF(Import!A42="","",Import!A42)</f>
        <v/>
      </c>
      <c r="B42" s="181" t="s">
        <v>109</v>
      </c>
      <c r="C42" s="360" t="str">
        <f>IF($A42="",B42,VLOOKUP($A42,Tabelle1[#Data],C$27,0))</f>
        <v>MitleiterIn</v>
      </c>
      <c r="D42" s="361"/>
      <c r="E42" s="361"/>
      <c r="F42" s="261" t="str">
        <f>IF($A42="","",IF(VLOOKUP($A42,Tabelle1[#Data],F$27,0)="","n","j"))</f>
        <v/>
      </c>
      <c r="G42" s="237" t="str">
        <f>IF($A42="","",IF(VLOOKUP($A42,Tabelle1[#Data],G$27,0)="",VLOOKUP($A42,Tabelle1[#Data],G$27+1,0),VLOOKUP($A42,Tabelle1[#Data],G$27,0)))</f>
        <v/>
      </c>
      <c r="H42" s="238"/>
      <c r="I42" s="238"/>
      <c r="J42" s="264"/>
      <c r="K42" s="262" t="str">
        <f>IF($F42="j",VLOOKUP($A42,Tabelle1[#Data],K$27,0),"")</f>
        <v/>
      </c>
    </row>
    <row r="43" spans="1:13" ht="23.25" customHeight="1" x14ac:dyDescent="0.25">
      <c r="A43" s="232" t="str">
        <f>IF(Import!A43="","",Import!A43)</f>
        <v/>
      </c>
      <c r="B43" s="181" t="s">
        <v>109</v>
      </c>
      <c r="C43" s="360" t="str">
        <f>IF($A43="",B43,VLOOKUP($A43,Tabelle1[#Data],C$27,0))</f>
        <v>MitleiterIn</v>
      </c>
      <c r="D43" s="361"/>
      <c r="E43" s="361"/>
      <c r="F43" s="261" t="str">
        <f>IF($A43="","",IF(VLOOKUP($A43,Tabelle1[#Data],F$27,0)="","n","j"))</f>
        <v/>
      </c>
      <c r="G43" s="237" t="str">
        <f>IF($A43="","",IF(VLOOKUP($A43,Tabelle1[#Data],G$27,0)="",VLOOKUP($A43,Tabelle1[#Data],G$27+1,0),VLOOKUP($A43,Tabelle1[#Data],G$27,0)))</f>
        <v/>
      </c>
      <c r="H43" s="238"/>
      <c r="I43" s="238"/>
      <c r="J43" s="264"/>
      <c r="K43" s="262" t="str">
        <f>IF($F43="j",VLOOKUP($A43,Tabelle1[#Data],K$27,0),"")</f>
        <v/>
      </c>
    </row>
    <row r="44" spans="1:13" ht="23.25" customHeight="1" x14ac:dyDescent="0.25">
      <c r="A44" s="232" t="str">
        <f>IF(Import!A44="","",Import!A44)</f>
        <v/>
      </c>
      <c r="B44" s="181" t="s">
        <v>109</v>
      </c>
      <c r="C44" s="360" t="str">
        <f>IF($A44="",B44,VLOOKUP($A44,Tabelle1[#Data],C$27,0))</f>
        <v>MitleiterIn</v>
      </c>
      <c r="D44" s="361"/>
      <c r="E44" s="361"/>
      <c r="F44" s="261" t="str">
        <f>IF($A44="","",IF(VLOOKUP($A44,Tabelle1[#Data],F$27,0)="","n","j"))</f>
        <v/>
      </c>
      <c r="G44" s="237" t="str">
        <f>IF($A44="","",IF(VLOOKUP($A44,Tabelle1[#Data],G$27,0)="",VLOOKUP($A44,Tabelle1[#Data],G$27+1,0),VLOOKUP($A44,Tabelle1[#Data],G$27,0)))</f>
        <v/>
      </c>
      <c r="H44" s="238"/>
      <c r="I44" s="238"/>
      <c r="J44" s="264"/>
      <c r="K44" s="262" t="str">
        <f>IF($F44="j",VLOOKUP($A44,Tabelle1[#Data],K$27,0),"")</f>
        <v/>
      </c>
    </row>
    <row r="45" spans="1:13" ht="23.25" customHeight="1" x14ac:dyDescent="0.25">
      <c r="A45" s="232" t="str">
        <f>IF(Import!A45="","",Import!A45)</f>
        <v/>
      </c>
      <c r="B45" s="181" t="s">
        <v>109</v>
      </c>
      <c r="C45" s="360" t="str">
        <f>IF($A45="",B45,VLOOKUP($A45,Tabelle1[#Data],C$27,0))</f>
        <v>MitleiterIn</v>
      </c>
      <c r="D45" s="361"/>
      <c r="E45" s="361"/>
      <c r="F45" s="261" t="str">
        <f>IF($A45="","",IF(VLOOKUP($A45,Tabelle1[#Data],F$27,0)="","n","j"))</f>
        <v/>
      </c>
      <c r="G45" s="237" t="str">
        <f>IF($A45="","",IF(VLOOKUP($A45,Tabelle1[#Data],G$27,0)="",VLOOKUP($A45,Tabelle1[#Data],G$27+1,0),VLOOKUP($A45,Tabelle1[#Data],G$27,0)))</f>
        <v/>
      </c>
      <c r="H45" s="238"/>
      <c r="I45" s="238"/>
      <c r="J45" s="264"/>
      <c r="K45" s="262" t="str">
        <f>IF($F45="j",VLOOKUP($A45,Tabelle1[#Data],K$27,0),"")</f>
        <v/>
      </c>
    </row>
    <row r="46" spans="1:13" ht="23.25" customHeight="1" x14ac:dyDescent="0.25">
      <c r="A46" s="232" t="str">
        <f>IF(Import!A46="","",Import!A46)</f>
        <v/>
      </c>
      <c r="B46" s="181" t="s">
        <v>109</v>
      </c>
      <c r="C46" s="360" t="str">
        <f>IF($A46="",B46,VLOOKUP($A46,Tabelle1[#Data],C$27,0))</f>
        <v>MitleiterIn</v>
      </c>
      <c r="D46" s="361"/>
      <c r="E46" s="361"/>
      <c r="F46" s="261" t="str">
        <f>IF($A46="","",IF(VLOOKUP($A46,Tabelle1[#Data],F$27,0)="","n","j"))</f>
        <v/>
      </c>
      <c r="G46" s="237" t="str">
        <f>IF($A46="","",IF(VLOOKUP($A46,Tabelle1[#Data],G$27,0)="",VLOOKUP($A46,Tabelle1[#Data],G$27+1,0),VLOOKUP($A46,Tabelle1[#Data],G$27,0)))</f>
        <v/>
      </c>
      <c r="H46" s="238"/>
      <c r="I46" s="238"/>
      <c r="J46" s="264"/>
      <c r="K46" s="262" t="str">
        <f>IF($F46="j",VLOOKUP($A46,Tabelle1[#Data],K$27,0),"")</f>
        <v/>
      </c>
    </row>
    <row r="47" spans="1:13" ht="23.25" customHeight="1" x14ac:dyDescent="0.25">
      <c r="A47" s="232" t="str">
        <f>IF(Import!A47="","",Import!A47)</f>
        <v/>
      </c>
      <c r="B47" s="181" t="s">
        <v>109</v>
      </c>
      <c r="C47" s="360" t="str">
        <f>IF($A47="",B47,VLOOKUP($A47,Tabelle1[#Data],C$27,0))</f>
        <v>MitleiterIn</v>
      </c>
      <c r="D47" s="361"/>
      <c r="E47" s="361"/>
      <c r="F47" s="261" t="str">
        <f>IF($A47="","",IF(VLOOKUP($A47,Tabelle1[#Data],F$27,0)="","n","j"))</f>
        <v/>
      </c>
      <c r="G47" s="237" t="str">
        <f>IF($A47="","",IF(VLOOKUP($A47,Tabelle1[#Data],G$27,0)="",VLOOKUP($A47,Tabelle1[#Data],G$27+1,0),VLOOKUP($A47,Tabelle1[#Data],G$27,0)))</f>
        <v/>
      </c>
      <c r="H47" s="238"/>
      <c r="I47" s="238"/>
      <c r="J47" s="264"/>
      <c r="K47" s="262" t="str">
        <f>IF($F47="j",VLOOKUP($A47,Tabelle1[#Data],K$27,0),"")</f>
        <v/>
      </c>
    </row>
    <row r="48" spans="1:13" ht="23.25" customHeight="1" x14ac:dyDescent="0.25">
      <c r="A48" s="232" t="str">
        <f>IF(Import!A48="","",Import!A48)</f>
        <v/>
      </c>
      <c r="B48" s="181" t="s">
        <v>109</v>
      </c>
      <c r="C48" s="360" t="str">
        <f>IF($A48="",B48,VLOOKUP($A48,Tabelle1[#Data],C$27,0))</f>
        <v>MitleiterIn</v>
      </c>
      <c r="D48" s="361"/>
      <c r="E48" s="361"/>
      <c r="F48" s="261" t="str">
        <f>IF($A48="","",IF(VLOOKUP($A48,Tabelle1[#Data],F$27,0)="","n","j"))</f>
        <v/>
      </c>
      <c r="G48" s="237" t="str">
        <f>IF($A48="","",IF(VLOOKUP($A48,Tabelle1[#Data],G$27,0)="",VLOOKUP($A48,Tabelle1[#Data],G$27+1,0),VLOOKUP($A48,Tabelle1[#Data],G$27,0)))</f>
        <v/>
      </c>
      <c r="H48" s="238"/>
      <c r="I48" s="238"/>
      <c r="J48" s="264"/>
      <c r="K48" s="262" t="str">
        <f>IF($F48="j",VLOOKUP($A48,Tabelle1[#Data],K$27,0),"")</f>
        <v/>
      </c>
    </row>
    <row r="49" spans="1:14" ht="23.25" customHeight="1" x14ac:dyDescent="0.25">
      <c r="A49" s="232" t="str">
        <f>IF(Import!A49="","",Import!A49)</f>
        <v/>
      </c>
      <c r="B49" s="181" t="s">
        <v>109</v>
      </c>
      <c r="C49" s="360" t="str">
        <f>IF($A49="",B49,VLOOKUP($A49,Tabelle1[#Data],C$27,0))</f>
        <v>MitleiterIn</v>
      </c>
      <c r="D49" s="361"/>
      <c r="E49" s="361"/>
      <c r="F49" s="261" t="str">
        <f>IF($A49="","",IF(VLOOKUP($A49,Tabelle1[#Data],F$27,0)="","n","j"))</f>
        <v/>
      </c>
      <c r="G49" s="237" t="str">
        <f>IF($A49="","",IF(VLOOKUP($A49,Tabelle1[#Data],G$27,0)="",VLOOKUP($A49,Tabelle1[#Data],G$27+1,0),VLOOKUP($A49,Tabelle1[#Data],G$27,0)))</f>
        <v/>
      </c>
      <c r="H49" s="238"/>
      <c r="I49" s="238"/>
      <c r="J49" s="264"/>
      <c r="K49" s="262" t="str">
        <f>IF($F49="j",VLOOKUP($A49,Tabelle1[#Data],K$27,0),"")</f>
        <v/>
      </c>
    </row>
    <row r="50" spans="1:14" ht="23.25" customHeight="1" x14ac:dyDescent="0.25">
      <c r="A50" s="232" t="str">
        <f>IF(Import!A50="","",Import!A50)</f>
        <v/>
      </c>
      <c r="B50" s="181" t="s">
        <v>109</v>
      </c>
      <c r="C50" s="360" t="str">
        <f>IF($A50="",B50,VLOOKUP($A50,Tabelle1[#Data],C$27,0))</f>
        <v>MitleiterIn</v>
      </c>
      <c r="D50" s="361"/>
      <c r="E50" s="361"/>
      <c r="F50" s="261" t="str">
        <f>IF($A50="","",IF(VLOOKUP($A50,Tabelle1[#Data],F$27,0)="","n","j"))</f>
        <v/>
      </c>
      <c r="G50" s="237" t="str">
        <f>IF($A50="","",IF(VLOOKUP($A50,Tabelle1[#Data],G$27,0)="",VLOOKUP($A50,Tabelle1[#Data],G$27+1,0),VLOOKUP($A50,Tabelle1[#Data],G$27,0)))</f>
        <v/>
      </c>
      <c r="H50" s="238"/>
      <c r="I50" s="238"/>
      <c r="J50" s="264"/>
      <c r="K50" s="262" t="str">
        <f>IF($F50="j",VLOOKUP($A50,Tabelle1[#Data],K$27,0),"")</f>
        <v/>
      </c>
    </row>
    <row r="51" spans="1:14" x14ac:dyDescent="0.25">
      <c r="J51" s="240">
        <v>1</v>
      </c>
    </row>
    <row r="52" spans="1:14" ht="23.1" customHeight="1" x14ac:dyDescent="0.25">
      <c r="B52" s="140" t="s">
        <v>275</v>
      </c>
      <c r="C52" s="141"/>
      <c r="D52" s="141"/>
      <c r="E52" s="141"/>
      <c r="F52" s="141"/>
      <c r="G52" s="141"/>
      <c r="H52" s="141"/>
      <c r="I52" s="142"/>
      <c r="J52" s="240">
        <v>1</v>
      </c>
    </row>
    <row r="53" spans="1:14" x14ac:dyDescent="0.25">
      <c r="B53" s="180"/>
      <c r="C53" s="527" t="s">
        <v>185</v>
      </c>
      <c r="D53" s="528"/>
      <c r="E53" s="528"/>
      <c r="F53" s="196" t="s">
        <v>282</v>
      </c>
      <c r="G53" s="248" t="s">
        <v>283</v>
      </c>
      <c r="H53" s="139"/>
      <c r="I53" s="139"/>
      <c r="J53" s="240">
        <v>1</v>
      </c>
      <c r="K53" s="233"/>
      <c r="L53" s="233"/>
      <c r="M53" s="197"/>
      <c r="N53" s="233"/>
    </row>
    <row r="54" spans="1:14" ht="23.1" customHeight="1" x14ac:dyDescent="0.25">
      <c r="A54" s="232" t="str">
        <f>IF(Import!A54="","",Import!A54)</f>
        <v/>
      </c>
      <c r="B54" s="235" t="s">
        <v>276</v>
      </c>
      <c r="C54" s="524" t="str">
        <f>IF($A54="",B54,VLOOKUP($A54,Tabelle1[#Data],C$27,0))</f>
        <v>HilfsleiterIn</v>
      </c>
      <c r="D54" s="525" t="str">
        <f>IF($A54="",C54,VLOOKUP($A54,Tabelle1[#Data],D$27,0))</f>
        <v>HilfsleiterIn</v>
      </c>
      <c r="E54" s="526" t="str">
        <f>IF($A54="",D54,VLOOKUP($A54,Tabelle1[#Data],E$27,0))</f>
        <v>HilfsleiterIn</v>
      </c>
      <c r="F54" s="236" t="str">
        <f>IF($A54="","",VLOOKUP($A54,Tabelle1[#Data],F$27-1,0))</f>
        <v/>
      </c>
      <c r="G54" s="237" t="str">
        <f>IF($A54="","",IF(VLOOKUP($A54,Tabelle1[#Data],G$27,0)="",VLOOKUP($A54,Tabelle1[#Data],G$27+1,0),VLOOKUP($A54,Tabelle1[#Data],G$27,0)))</f>
        <v/>
      </c>
      <c r="H54" s="238"/>
      <c r="I54" s="238"/>
      <c r="J54" s="240">
        <v>1</v>
      </c>
    </row>
    <row r="55" spans="1:14" ht="23.1" customHeight="1" x14ac:dyDescent="0.25">
      <c r="A55" s="232" t="str">
        <f>IF(Import!A55="","",Import!A55)</f>
        <v/>
      </c>
      <c r="B55" s="235" t="s">
        <v>276</v>
      </c>
      <c r="C55" s="529" t="str">
        <f>IF($A55="",B55,VLOOKUP($A55,Tabelle1[#Data],C$27,0))</f>
        <v>HilfsleiterIn</v>
      </c>
      <c r="D55" s="525" t="str">
        <f>IF($A55="",C55,VLOOKUP($A55,Tabelle1[#Data],D$27,0))</f>
        <v>HilfsleiterIn</v>
      </c>
      <c r="E55" s="525" t="str">
        <f>IF($A55="",D55,VLOOKUP($A55,Tabelle1[#Data],E$27,0))</f>
        <v>HilfsleiterIn</v>
      </c>
      <c r="F55" s="236" t="str">
        <f>IF($A55="","",VLOOKUP($A55,Tabelle1[#Data],F$27-1,0))</f>
        <v/>
      </c>
      <c r="G55" s="237" t="str">
        <f>IF($A55="","",IF(VLOOKUP($A55,Tabelle1[#Data],G$27,0)="",VLOOKUP($A55,Tabelle1[#Data],G$27+1,0),VLOOKUP($A55,Tabelle1[#Data],G$27,0)))</f>
        <v/>
      </c>
      <c r="H55" s="238"/>
      <c r="I55" s="238"/>
      <c r="J55" s="240">
        <v>2</v>
      </c>
    </row>
    <row r="56" spans="1:14" ht="23.1" customHeight="1" x14ac:dyDescent="0.25">
      <c r="A56" s="232" t="str">
        <f>IF(Import!A56="","",Import!A56)</f>
        <v/>
      </c>
      <c r="B56" s="235" t="s">
        <v>276</v>
      </c>
      <c r="C56" s="529" t="str">
        <f>IF($A56="",B56,VLOOKUP($A56,Tabelle1[#Data],C$27,0))</f>
        <v>HilfsleiterIn</v>
      </c>
      <c r="D56" s="525" t="str">
        <f>IF($A56="",C56,VLOOKUP($A56,Tabelle1[#Data],D$27,0))</f>
        <v>HilfsleiterIn</v>
      </c>
      <c r="E56" s="525" t="str">
        <f>IF($A56="",D56,VLOOKUP($A56,Tabelle1[#Data],E$27,0))</f>
        <v>HilfsleiterIn</v>
      </c>
      <c r="F56" s="236" t="str">
        <f>IF($A56="","",VLOOKUP($A56,Tabelle1[#Data],F$27-1,0))</f>
        <v/>
      </c>
      <c r="G56" s="237" t="str">
        <f>IF($A56="","",IF(VLOOKUP($A56,Tabelle1[#Data],G$27,0)="",VLOOKUP($A56,Tabelle1[#Data],G$27+1,0),VLOOKUP($A56,Tabelle1[#Data],G$27,0)))</f>
        <v/>
      </c>
      <c r="H56" s="238"/>
      <c r="I56" s="238"/>
      <c r="J56" s="240">
        <v>3</v>
      </c>
    </row>
  </sheetData>
  <sheetProtection algorithmName="SHA-512" hashValue="tio9vHLhmwkq0+t9hgllHqydCUAlrLM9qKMStj5u5y8hQh+Dd9Fp2ehxFBGJ9wp+kRzl4MPpgFdorM12PYPHAw==" saltValue="TrQ6sHd9fCz8NtH0DpgqZw==" spinCount="100000" sheet="1" objects="1" scenarios="1" formatCells="0"/>
  <dataConsolidate link="1"/>
  <mergeCells count="51">
    <mergeCell ref="C54:E54"/>
    <mergeCell ref="C53:E53"/>
    <mergeCell ref="C55:E55"/>
    <mergeCell ref="C56:E56"/>
    <mergeCell ref="D21:G21"/>
    <mergeCell ref="B26:C26"/>
    <mergeCell ref="E26:G26"/>
    <mergeCell ref="B23:C23"/>
    <mergeCell ref="B25:C25"/>
    <mergeCell ref="D25:E25"/>
    <mergeCell ref="B22:C22"/>
    <mergeCell ref="D22:G22"/>
    <mergeCell ref="C29:E29"/>
    <mergeCell ref="C30:E30"/>
    <mergeCell ref="C31:E31"/>
    <mergeCell ref="B3:C3"/>
    <mergeCell ref="B4:C4"/>
    <mergeCell ref="B8:C8"/>
    <mergeCell ref="D8:E8"/>
    <mergeCell ref="D13:E13"/>
    <mergeCell ref="B11:C11"/>
    <mergeCell ref="D11:E11"/>
    <mergeCell ref="D9:E9"/>
    <mergeCell ref="K4:L4"/>
    <mergeCell ref="B5:C5"/>
    <mergeCell ref="D5:E5"/>
    <mergeCell ref="I6:L6"/>
    <mergeCell ref="B6:C6"/>
    <mergeCell ref="E4:G4"/>
    <mergeCell ref="D6:G6"/>
    <mergeCell ref="B20:C20"/>
    <mergeCell ref="B21:C21"/>
    <mergeCell ref="B15:C15"/>
    <mergeCell ref="B13:C13"/>
    <mergeCell ref="D19:G19"/>
    <mergeCell ref="F8:G8"/>
    <mergeCell ref="B10:C10"/>
    <mergeCell ref="D10:F10"/>
    <mergeCell ref="F13:G13"/>
    <mergeCell ref="F25:G25"/>
    <mergeCell ref="B19:C19"/>
    <mergeCell ref="D15:F15"/>
    <mergeCell ref="B16:C16"/>
    <mergeCell ref="D16:E16"/>
    <mergeCell ref="F16:G16"/>
    <mergeCell ref="E23:G23"/>
    <mergeCell ref="B24:C24"/>
    <mergeCell ref="B14:C14"/>
    <mergeCell ref="D14:E14"/>
    <mergeCell ref="F11:G11"/>
    <mergeCell ref="B9:C9"/>
  </mergeCells>
  <phoneticPr fontId="41" type="noConversion"/>
  <conditionalFormatting sqref="A8">
    <cfRule type="cellIs" dxfId="89" priority="2" operator="equal">
      <formula>"PLZ"</formula>
    </cfRule>
  </conditionalFormatting>
  <conditionalFormatting sqref="C30">
    <cfRule type="cellIs" dxfId="88" priority="19" operator="equal">
      <formula>"Hauptleitung"</formula>
    </cfRule>
  </conditionalFormatting>
  <conditionalFormatting sqref="C31">
    <cfRule type="cellIs" dxfId="87" priority="25" operator="equal">
      <formula>"Küchenchef"</formula>
    </cfRule>
  </conditionalFormatting>
  <conditionalFormatting sqref="C32:C50">
    <cfRule type="cellIs" dxfId="86" priority="15" operator="equal">
      <formula>"MitleiterIn"</formula>
    </cfRule>
  </conditionalFormatting>
  <conditionalFormatting sqref="C31:E31 H31:I31">
    <cfRule type="expression" dxfId="85" priority="17">
      <formula>IF($C$31="Kein Küchenchef",1,0)</formula>
    </cfRule>
  </conditionalFormatting>
  <conditionalFormatting sqref="C54:E56">
    <cfRule type="cellIs" dxfId="84" priority="9" operator="equal">
      <formula>"HilfsleiterIn"</formula>
    </cfRule>
  </conditionalFormatting>
  <conditionalFormatting sqref="D4">
    <cfRule type="cellIs" dxfId="83" priority="5" operator="equal">
      <formula>"Nr."</formula>
    </cfRule>
    <cfRule type="cellIs" dxfId="82" priority="6" operator="equal">
      <formula>"CHF"</formula>
    </cfRule>
  </conditionalFormatting>
  <conditionalFormatting sqref="D5 D9 D14">
    <cfRule type="cellIs" dxfId="81" priority="53" operator="equal">
      <formula>"Strasse"</formula>
    </cfRule>
  </conditionalFormatting>
  <conditionalFormatting sqref="D6">
    <cfRule type="cellIs" dxfId="80" priority="49" operator="equal">
      <formula>"Name Lagerhaus"</formula>
    </cfRule>
  </conditionalFormatting>
  <conditionalFormatting sqref="D10 D15">
    <cfRule type="cellIs" dxfId="79" priority="60" operator="equal">
      <formula>"E-Mail"</formula>
    </cfRule>
  </conditionalFormatting>
  <conditionalFormatting sqref="D19 F5 F9 F14 D23 D26">
    <cfRule type="cellIs" dxfId="78" priority="58" operator="equal">
      <formula>"PLZ"</formula>
    </cfRule>
  </conditionalFormatting>
  <conditionalFormatting sqref="D1:E1">
    <cfRule type="expression" dxfId="77" priority="8">
      <formula>IF($E$1="campart auswählen",1,0)</formula>
    </cfRule>
  </conditionalFormatting>
  <conditionalFormatting sqref="D8:E8 D13:E13 D25">
    <cfRule type="cellIs" dxfId="76" priority="56" operator="equal">
      <formula>"Vorname"</formula>
    </cfRule>
  </conditionalFormatting>
  <conditionalFormatting sqref="D11:E11 D16:E16">
    <cfRule type="cellIs" dxfId="75" priority="50" operator="equal">
      <formula>"Privat"</formula>
    </cfRule>
  </conditionalFormatting>
  <conditionalFormatting sqref="D19:G19 D21:G22">
    <cfRule type="cellIs" dxfId="74" priority="1" operator="equal">
      <formula>0</formula>
    </cfRule>
  </conditionalFormatting>
  <conditionalFormatting sqref="E3">
    <cfRule type="cellIs" dxfId="73" priority="3" operator="equal">
      <formula>"tt.mm.jj"</formula>
    </cfRule>
  </conditionalFormatting>
  <conditionalFormatting sqref="E4:G4">
    <cfRule type="cellIs" dxfId="72" priority="4" operator="equal">
      <formula>"Camport"</formula>
    </cfRule>
    <cfRule type="cellIs" dxfId="71" priority="7" operator="equal">
      <formula>"Schulhaus"</formula>
    </cfRule>
  </conditionalFormatting>
  <conditionalFormatting sqref="F11 F16">
    <cfRule type="cellIs" dxfId="70" priority="52" operator="equal">
      <formula>"Geschäft"</formula>
    </cfRule>
  </conditionalFormatting>
  <conditionalFormatting sqref="F8:G8 F13:G13 F25">
    <cfRule type="cellIs" dxfId="69" priority="61" operator="equal">
      <formula>"Name"</formula>
    </cfRule>
  </conditionalFormatting>
  <conditionalFormatting sqref="G3">
    <cfRule type="cellIs" dxfId="68" priority="29" operator="equal">
      <formula>"tt.mm.jj"</formula>
    </cfRule>
  </conditionalFormatting>
  <conditionalFormatting sqref="G5 G9 G14 E23 E26">
    <cfRule type="cellIs" dxfId="67" priority="57" operator="equal">
      <formula>"Ort"</formula>
    </cfRule>
  </conditionalFormatting>
  <conditionalFormatting sqref="G10 G15">
    <cfRule type="cellIs" dxfId="66" priority="55" operator="equal">
      <formula>"Mobile"</formula>
    </cfRule>
  </conditionalFormatting>
  <conditionalFormatting sqref="I26:K26">
    <cfRule type="expression" dxfId="65" priority="10">
      <formula>IF($K$26&lt;&gt;"",1,0)</formula>
    </cfRule>
  </conditionalFormatting>
  <conditionalFormatting sqref="J28:K29">
    <cfRule type="expression" dxfId="64" priority="14">
      <formula>IF($L$14="Nein",1,0)</formula>
    </cfRule>
  </conditionalFormatting>
  <conditionalFormatting sqref="J30:K30 J32:K50">
    <cfRule type="expression" dxfId="63" priority="13">
      <formula>IF($L$14="Ja",1,0)</formula>
    </cfRule>
  </conditionalFormatting>
  <conditionalFormatting sqref="L11">
    <cfRule type="expression" dxfId="62" priority="112">
      <formula>IF($L$11&gt;$L$13,1,0)</formula>
    </cfRule>
  </conditionalFormatting>
  <conditionalFormatting sqref="L14">
    <cfRule type="cellIs" dxfId="61" priority="64" operator="equal">
      <formula>"Nein"</formula>
    </cfRule>
  </conditionalFormatting>
  <conditionalFormatting sqref="N16">
    <cfRule type="expression" dxfId="60" priority="100">
      <formula>IF($I$15="",1,0)</formula>
    </cfRule>
  </conditionalFormatting>
  <dataValidations count="6">
    <dataValidation type="list" allowBlank="1" showInputMessage="1" showErrorMessage="1" sqref="L14" xr:uid="{00000000-0002-0000-0300-000000000000}">
      <formula1>"Ja, Nein"</formula1>
    </dataValidation>
    <dataValidation type="whole" allowBlank="1" showInputMessage="1" showErrorMessage="1" sqref="L10 J10" xr:uid="{00000000-0002-0000-0300-000001000000}">
      <formula1>0</formula1>
      <formula2>18</formula2>
    </dataValidation>
    <dataValidation type="list" allowBlank="1" showInputMessage="1" showErrorMessage="1" sqref="J4" xr:uid="{00000000-0002-0000-0300-000002000000}">
      <formula1>"S,P"</formula1>
    </dataValidation>
    <dataValidation type="list" allowBlank="1" showInputMessage="1" showErrorMessage="1" sqref="F30:F50" xr:uid="{00000000-0002-0000-0300-000003000000}">
      <formula1>"j,n, "</formula1>
    </dataValidation>
    <dataValidation type="list" allowBlank="1" showInputMessage="1" showErrorMessage="1" prompt="x  für Verantwortlicher für Anwesenheitskontroll in der Sport DB " sqref="J30 J32:J50" xr:uid="{00000000-0002-0000-0300-000004000000}">
      <formula1>" ,x"</formula1>
    </dataValidation>
    <dataValidation type="list" allowBlank="1" showInputMessage="1" showErrorMessage="1" sqref="E1" xr:uid="{00000000-0002-0000-0300-000005000000}">
      <formula1>"Campart auswählen, Camp, SH-Camp mit DL, SH-Camp o. DL"</formula1>
    </dataValidation>
  </dataValidations>
  <hyperlinks>
    <hyperlink ref="I24" r:id="rId1" display="https://www.schneezueri.ch/leiter_innen/Formulare/Wochenplan%2020xx.xlsx" xr:uid="{00000000-0004-0000-0300-000000000000}"/>
  </hyperlinks>
  <pageMargins left="0.78740157480314965" right="0.19685039370078741" top="0.82677165354330717" bottom="0.31496062992125984" header="0.35433070866141736" footer="0.15748031496062992"/>
  <pageSetup paperSize="9" scale="73" orientation="landscape" r:id="rId2"/>
  <headerFooter alignWithMargins="0">
    <oddHeader>&amp;R&amp;G</oddHeader>
    <oddFooter>&amp;R&amp;8gedruckt: &amp;D; &amp;T</oddFooter>
  </headerFooter>
  <ignoredErrors>
    <ignoredError sqref="K50 K32:K49 C30:F30 D2:G2 D8:G26 G7 D1 F1:G1 D4:G6 D3 F3 F33:G50 F32:G32 G30 D31:E31 D32:E32 D33:E50 C31 C33:C50 C32 C54:E56" unlockedFormula="1"/>
  </ignoredErrors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indexed="45"/>
    <pageSetUpPr fitToPage="1"/>
  </sheetPr>
  <dimension ref="A1:F32"/>
  <sheetViews>
    <sheetView zoomScale="85" zoomScaleNormal="85" workbookViewId="0">
      <selection activeCell="F24" sqref="F24"/>
    </sheetView>
  </sheetViews>
  <sheetFormatPr baseColWidth="10" defaultColWidth="11.44140625" defaultRowHeight="13.2" x14ac:dyDescent="0.25"/>
  <cols>
    <col min="1" max="1" width="19.109375" customWidth="1"/>
    <col min="2" max="2" width="17.44140625" customWidth="1"/>
    <col min="3" max="3" width="12" customWidth="1"/>
    <col min="4" max="4" width="13.5546875" customWidth="1"/>
    <col min="5" max="5" width="11.6640625" customWidth="1"/>
    <col min="6" max="6" width="18.33203125" customWidth="1"/>
  </cols>
  <sheetData>
    <row r="1" spans="1:6" s="62" customFormat="1" ht="39.75" customHeight="1" x14ac:dyDescent="0.4">
      <c r="A1" s="278" t="str">
        <f>"Vorschussbegehren "&amp;LagerTyp&amp;" schneezüri.ch"</f>
        <v>Vorschussbegehren Campart auswählen schneezüri.ch</v>
      </c>
      <c r="B1" s="172"/>
      <c r="C1" s="172"/>
      <c r="D1" s="172"/>
      <c r="E1" s="172"/>
      <c r="F1" s="172">
        <f>Datenstammblatt!G1</f>
        <v>2024</v>
      </c>
    </row>
    <row r="2" spans="1:6" s="62" customFormat="1" ht="16.5" customHeight="1" x14ac:dyDescent="0.4">
      <c r="C2" s="2" t="s">
        <v>23</v>
      </c>
      <c r="D2" s="102" t="str">
        <f>Datenstammblatt!E3</f>
        <v>TT.MM.JJ</v>
      </c>
      <c r="E2" s="2" t="s">
        <v>41</v>
      </c>
      <c r="F2" s="102" t="str">
        <f>Datenstammblatt!G3</f>
        <v>TT.MM.JJ</v>
      </c>
    </row>
    <row r="3" spans="1:6" s="62" customFormat="1" ht="22.5" customHeight="1" x14ac:dyDescent="0.4">
      <c r="A3" s="538" t="s">
        <v>107</v>
      </c>
      <c r="B3" s="539"/>
      <c r="C3" s="521" t="str">
        <f>Datenstammblatt!D8</f>
        <v>Vorname</v>
      </c>
      <c r="D3" s="537"/>
      <c r="E3" s="522" t="str">
        <f>Datenstammblatt!F8</f>
        <v>Name</v>
      </c>
      <c r="F3" s="536"/>
    </row>
    <row r="4" spans="1:6" s="62" customFormat="1" ht="22.5" customHeight="1" x14ac:dyDescent="0.4">
      <c r="A4" s="538" t="s">
        <v>124</v>
      </c>
      <c r="B4" s="539"/>
      <c r="C4" s="521" t="str">
        <f>Datenstammblatt!D9</f>
        <v>Strasse</v>
      </c>
      <c r="D4" s="537"/>
      <c r="E4" s="63" t="str">
        <f>Datenstammblatt!F9</f>
        <v>Plz</v>
      </c>
      <c r="F4" s="64" t="str">
        <f>Datenstammblatt!G9</f>
        <v>Ort</v>
      </c>
    </row>
    <row r="5" spans="1:6" s="62" customFormat="1" ht="23.25" customHeight="1" x14ac:dyDescent="0.4">
      <c r="A5" s="538" t="str">
        <f>IF(LagerTyp="Camp","Camp Nr. / -Ort","Schulhaus / Lager-Ort")</f>
        <v>Schulhaus / Lager-Ort</v>
      </c>
      <c r="B5" s="539"/>
      <c r="C5" s="346" t="str">
        <f>IF(LagerTyp="Camp",Datenstammblatt!D4,Datenstammblatt!E4) &amp;  " /  "&amp;Datenstammblatt!G5</f>
        <v>Schulhaus /  Ort</v>
      </c>
      <c r="D5" s="63"/>
      <c r="E5" s="348"/>
      <c r="F5" s="347"/>
    </row>
    <row r="6" spans="1:6" s="62" customFormat="1" ht="120.75" customHeight="1" x14ac:dyDescent="0.4">
      <c r="A6" s="542" t="s">
        <v>302</v>
      </c>
      <c r="B6" s="543"/>
      <c r="C6" s="543"/>
      <c r="D6" s="543"/>
      <c r="E6" s="543"/>
      <c r="F6" s="543"/>
    </row>
    <row r="7" spans="1:6" s="62" customFormat="1" ht="28.5" customHeight="1" x14ac:dyDescent="0.4">
      <c r="A7" s="543"/>
      <c r="B7" s="543"/>
      <c r="C7" s="543"/>
      <c r="D7" s="543"/>
      <c r="E7" s="543"/>
      <c r="F7" s="543"/>
    </row>
    <row r="8" spans="1:6" ht="126" customHeight="1" x14ac:dyDescent="0.25">
      <c r="A8" s="543"/>
      <c r="B8" s="543"/>
      <c r="C8" s="543"/>
      <c r="D8" s="543"/>
      <c r="E8" s="543"/>
      <c r="F8" s="543"/>
    </row>
    <row r="9" spans="1:6" ht="19.95" customHeight="1" x14ac:dyDescent="0.3">
      <c r="A9" s="61"/>
      <c r="B9" s="61"/>
      <c r="C9" s="61"/>
      <c r="D9" s="61"/>
      <c r="E9" s="61"/>
      <c r="F9" s="61"/>
    </row>
    <row r="10" spans="1:6" s="364" customFormat="1" ht="42" customHeight="1" x14ac:dyDescent="0.25">
      <c r="A10" s="362"/>
      <c r="B10" s="363" t="s">
        <v>121</v>
      </c>
      <c r="C10" s="103" t="s">
        <v>146</v>
      </c>
      <c r="D10" s="144" t="s">
        <v>172</v>
      </c>
      <c r="E10" s="103" t="s">
        <v>173</v>
      </c>
      <c r="F10" s="363" t="s">
        <v>28</v>
      </c>
    </row>
    <row r="11" spans="1:6" ht="18.75" customHeight="1" x14ac:dyDescent="0.25">
      <c r="A11" s="143" t="s">
        <v>123</v>
      </c>
      <c r="B11" s="153">
        <f>Datenstammblatt!J8</f>
        <v>0</v>
      </c>
      <c r="C11" s="36"/>
      <c r="D11" s="146">
        <f>IF(Datenstammblatt!J4="S",12,0)</f>
        <v>0</v>
      </c>
      <c r="E11" s="151">
        <f>IF(D2="tt.mm.jj",0,F2-D2+1)</f>
        <v>0</v>
      </c>
      <c r="F11" s="147">
        <f>E11*D11*(B11+B12+1)</f>
        <v>0</v>
      </c>
    </row>
    <row r="12" spans="1:6" ht="18.75" customHeight="1" x14ac:dyDescent="0.25">
      <c r="A12" s="143" t="s">
        <v>122</v>
      </c>
      <c r="B12" s="145">
        <f>IF(Datenstammblatt!J10="",0,Datenstammblatt!J10-1)</f>
        <v>0</v>
      </c>
      <c r="C12" s="145">
        <f>IF(Datenstammblatt!L10=0,0,Datenstammblatt!L10)</f>
        <v>0</v>
      </c>
      <c r="D12" s="148">
        <v>80</v>
      </c>
      <c r="E12" s="155"/>
      <c r="F12" s="147">
        <f>D12*E11*B12+45*E11*C12</f>
        <v>0</v>
      </c>
    </row>
    <row r="13" spans="1:6" ht="18.75" customHeight="1" x14ac:dyDescent="0.25">
      <c r="A13" s="143" t="s">
        <v>107</v>
      </c>
      <c r="B13" s="154">
        <v>1</v>
      </c>
      <c r="C13" s="36"/>
      <c r="D13" s="148">
        <v>140</v>
      </c>
      <c r="E13" s="155"/>
      <c r="F13" s="147">
        <f>D13*E11</f>
        <v>0</v>
      </c>
    </row>
    <row r="14" spans="1:6" ht="18.75" customHeight="1" x14ac:dyDescent="0.25">
      <c r="A14" s="143" t="s">
        <v>174</v>
      </c>
      <c r="B14" s="109"/>
      <c r="C14" s="149"/>
      <c r="D14" s="150"/>
      <c r="E14" s="152" t="str">
        <f>TEXT(SUM(F11:F13),"#'##0.00")&amp;", aufgerunded"</f>
        <v>0.00, aufgerunded</v>
      </c>
      <c r="F14" s="147">
        <f>ROUNDUP(F11+F12+F13,-2)</f>
        <v>0</v>
      </c>
    </row>
    <row r="15" spans="1:6" x14ac:dyDescent="0.25">
      <c r="F15" s="220"/>
    </row>
    <row r="16" spans="1:6" ht="17.399999999999999" x14ac:dyDescent="0.25">
      <c r="A16" s="60" t="s">
        <v>120</v>
      </c>
    </row>
    <row r="18" spans="1:6" x14ac:dyDescent="0.25">
      <c r="A18" s="59" t="s">
        <v>119</v>
      </c>
    </row>
    <row r="20" spans="1:6" ht="18.75" customHeight="1" x14ac:dyDescent="0.25">
      <c r="A20" s="111" t="s">
        <v>118</v>
      </c>
      <c r="B20" s="540">
        <f>IF(Datenstammblatt!D19="","",Datenstammblatt!D19)</f>
        <v>0</v>
      </c>
      <c r="C20" s="541"/>
    </row>
    <row r="21" spans="1:6" ht="4.95" customHeight="1" x14ac:dyDescent="0.25">
      <c r="A21" s="111"/>
      <c r="B21" s="107"/>
      <c r="C21" s="108"/>
      <c r="D21" s="108"/>
      <c r="E21" s="108"/>
      <c r="F21" s="108"/>
    </row>
    <row r="22" spans="1:6" ht="12.75" customHeight="1" x14ac:dyDescent="0.25">
      <c r="A22" s="112" t="s">
        <v>116</v>
      </c>
      <c r="B22" s="107"/>
      <c r="C22" s="108"/>
      <c r="D22" s="108"/>
      <c r="E22" s="108"/>
      <c r="F22" s="108"/>
    </row>
    <row r="23" spans="1:6" ht="4.95" customHeight="1" x14ac:dyDescent="0.25">
      <c r="A23" s="111"/>
      <c r="B23" s="107"/>
      <c r="C23" s="108"/>
      <c r="D23" s="108"/>
      <c r="E23" s="108"/>
      <c r="F23" s="108"/>
    </row>
    <row r="24" spans="1:6" ht="18.75" customHeight="1" x14ac:dyDescent="0.25">
      <c r="A24" s="111" t="s">
        <v>115</v>
      </c>
      <c r="B24" s="521">
        <f>IF(Datenstammblatt!D22="","",Datenstammblatt!D22)</f>
        <v>0</v>
      </c>
      <c r="C24" s="537"/>
      <c r="D24" s="537"/>
      <c r="E24" s="536"/>
      <c r="F24" s="108"/>
    </row>
    <row r="25" spans="1:6" ht="18.75" customHeight="1" x14ac:dyDescent="0.25">
      <c r="A25" s="111" t="s">
        <v>114</v>
      </c>
      <c r="B25" s="521" t="str">
        <f>IF(Datenstammblatt!D23="plz","",Datenstammblatt!D23&amp;" "&amp;Datenstammblatt!E23)</f>
        <v/>
      </c>
      <c r="C25" s="537"/>
      <c r="D25" s="537"/>
      <c r="E25" s="536"/>
      <c r="F25" s="108"/>
    </row>
    <row r="26" spans="1:6" ht="18.75" customHeight="1" x14ac:dyDescent="0.25">
      <c r="A26" s="111" t="s">
        <v>125</v>
      </c>
      <c r="B26" s="521">
        <f>IF(Datenstammblatt!D21="","",Datenstammblatt!D21)</f>
        <v>0</v>
      </c>
      <c r="C26" s="522"/>
      <c r="D26" s="523"/>
      <c r="E26" s="350"/>
      <c r="F26" s="110"/>
    </row>
    <row r="27" spans="1:6" ht="14.25" customHeight="1" x14ac:dyDescent="0.25">
      <c r="A27" s="111" t="s">
        <v>117</v>
      </c>
      <c r="B27" s="108"/>
      <c r="C27" s="234"/>
      <c r="D27" s="110"/>
      <c r="E27" s="110"/>
      <c r="F27" s="110"/>
    </row>
    <row r="28" spans="1:6" ht="18.75" customHeight="1" x14ac:dyDescent="0.25">
      <c r="A28" s="111" t="s">
        <v>113</v>
      </c>
      <c r="B28" s="521" t="str">
        <f>IF(Datenstammblatt!D25="vorname","",Datenstammblatt!D25&amp;" "&amp;Datenstammblatt!F25)</f>
        <v/>
      </c>
      <c r="C28" s="522"/>
      <c r="D28" s="522"/>
      <c r="E28" s="523"/>
    </row>
    <row r="29" spans="1:6" ht="18.75" customHeight="1" x14ac:dyDescent="0.25">
      <c r="A29" s="58"/>
      <c r="B29" s="521" t="str">
        <f>IF(Datenstammblatt!D26="plz","",Datenstammblatt!D26&amp;" "&amp;Datenstammblatt!E26)</f>
        <v/>
      </c>
      <c r="C29" s="522"/>
      <c r="D29" s="522"/>
      <c r="E29" s="523"/>
      <c r="F29" s="110"/>
    </row>
    <row r="32" spans="1:6" ht="15" x14ac:dyDescent="0.25">
      <c r="A32" s="1" t="str">
        <f>"Bitte senden an: "&amp;Anleitung!D108</f>
        <v>Bitte senden an: abrechnung@schneezueri.ch</v>
      </c>
      <c r="F32" s="267" t="str">
        <f>"Ver. "&amp;" - "&amp;Anleitung!H2</f>
        <v>Ver.  - 2024 - 1.0</v>
      </c>
    </row>
  </sheetData>
  <sheetProtection algorithmName="SHA-512" hashValue="2qe/HzsANQ0lWcVtV0UdCCRakKJzfFtP834uFIz3k6VkYUh7HuN84KKLEyDQOzAUYzt+gtQiZe74x74TiYEE5g==" saltValue="u0CNHYzllIklxQ8x8Xwt5Q==" spinCount="100000" sheet="1" objects="1" scenarios="1" formatCells="0"/>
  <mergeCells count="13">
    <mergeCell ref="B29:E29"/>
    <mergeCell ref="B28:E28"/>
    <mergeCell ref="B20:C20"/>
    <mergeCell ref="A6:F8"/>
    <mergeCell ref="B25:E25"/>
    <mergeCell ref="B24:E24"/>
    <mergeCell ref="B26:D26"/>
    <mergeCell ref="E3:F3"/>
    <mergeCell ref="C4:D4"/>
    <mergeCell ref="A3:B3"/>
    <mergeCell ref="A5:B5"/>
    <mergeCell ref="A4:B4"/>
    <mergeCell ref="C3:D3"/>
  </mergeCells>
  <phoneticPr fontId="17" type="noConversion"/>
  <conditionalFormatting sqref="B20:C20 B24:E24 B26:D26">
    <cfRule type="cellIs" dxfId="59" priority="1" operator="equal">
      <formula>0</formula>
    </cfRule>
  </conditionalFormatting>
  <conditionalFormatting sqref="C5">
    <cfRule type="cellIs" dxfId="58" priority="2" stopIfTrue="1" operator="equal">
      <formula>"Nr. /  Ort"</formula>
    </cfRule>
    <cfRule type="cellIs" dxfId="57" priority="11" stopIfTrue="1" operator="equal">
      <formula>"Schulhaus /  Ort"</formula>
    </cfRule>
  </conditionalFormatting>
  <conditionalFormatting sqref="C3:D4">
    <cfRule type="cellIs" dxfId="56" priority="13" stopIfTrue="1" operator="equal">
      <formula>"Vorname"</formula>
    </cfRule>
  </conditionalFormatting>
  <conditionalFormatting sqref="C4:D4">
    <cfRule type="cellIs" dxfId="55" priority="8" stopIfTrue="1" operator="equal">
      <formula>"Strasse"</formula>
    </cfRule>
  </conditionalFormatting>
  <conditionalFormatting sqref="D2 F2">
    <cfRule type="cellIs" dxfId="54" priority="6" stopIfTrue="1" operator="equal">
      <formula>"tt.mm.jj"</formula>
    </cfRule>
  </conditionalFormatting>
  <conditionalFormatting sqref="D5:F5">
    <cfRule type="cellIs" dxfId="53" priority="12" stopIfTrue="1" operator="equal">
      <formula>"Camport"</formula>
    </cfRule>
  </conditionalFormatting>
  <conditionalFormatting sqref="E4">
    <cfRule type="cellIs" dxfId="52" priority="9" stopIfTrue="1" operator="equal">
      <formula>"PLZ"</formula>
    </cfRule>
  </conditionalFormatting>
  <conditionalFormatting sqref="E3:F3">
    <cfRule type="cellIs" dxfId="51" priority="7" stopIfTrue="1" operator="equal">
      <formula>"Name"</formula>
    </cfRule>
  </conditionalFormatting>
  <conditionalFormatting sqref="F4">
    <cfRule type="cellIs" dxfId="50" priority="10" stopIfTrue="1" operator="equal">
      <formula>"Ort"</formula>
    </cfRule>
  </conditionalFormatting>
  <dataValidations count="1">
    <dataValidation type="list" showInputMessage="1" showErrorMessage="1" sqref="D11" xr:uid="{00000000-0002-0000-0400-000000000000}">
      <formula1>"0,12,32"</formula1>
    </dataValidation>
  </dataValidations>
  <pageMargins left="0.78740157480314965" right="0.19685039370078741" top="0.82677165354330717" bottom="0.31496062992125984" header="0.35433070866141736" footer="0.15748031496062992"/>
  <pageSetup paperSize="9" scale="96" orientation="portrait" r:id="rId1"/>
  <headerFooter alignWithMargins="0">
    <oddFooter>&amp;L&amp;8 2013 V. 1.0 (01.09.12)&amp;R&amp;8gedruckt: &amp;D; &amp;T</oddFooter>
  </headerFooter>
  <ignoredErrors>
    <ignoredError sqref="B20:E29 C2:F5 B11:E1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indexed="43"/>
    <pageSetUpPr fitToPage="1"/>
  </sheetPr>
  <dimension ref="A1:X72"/>
  <sheetViews>
    <sheetView zoomScale="85" zoomScaleNormal="85" workbookViewId="0">
      <selection activeCell="I2" sqref="I2"/>
    </sheetView>
  </sheetViews>
  <sheetFormatPr baseColWidth="10" defaultRowHeight="13.2" x14ac:dyDescent="0.25"/>
  <cols>
    <col min="1" max="1" width="2.33203125" customWidth="1"/>
    <col min="2" max="2" width="8.109375" customWidth="1"/>
    <col min="3" max="3" width="13.6640625" customWidth="1"/>
    <col min="4" max="4" width="6.44140625" customWidth="1"/>
    <col min="5" max="5" width="9.33203125" customWidth="1"/>
    <col min="6" max="6" width="8.6640625" customWidth="1"/>
    <col min="7" max="7" width="3.44140625" customWidth="1"/>
    <col min="8" max="8" width="5.6640625" customWidth="1"/>
    <col min="9" max="9" width="19.6640625" customWidth="1"/>
    <col min="10" max="10" width="5.6640625" customWidth="1"/>
    <col min="11" max="11" width="15" customWidth="1"/>
    <col min="12" max="12" width="14.5546875" customWidth="1"/>
    <col min="13" max="13" width="11.44140625" style="190" customWidth="1"/>
    <col min="14" max="19" width="11.44140625" style="177" customWidth="1"/>
    <col min="20" max="24" width="11.44140625" style="177"/>
  </cols>
  <sheetData>
    <row r="1" spans="1:16" x14ac:dyDescent="0.25">
      <c r="A1" s="566"/>
      <c r="B1" s="2"/>
      <c r="C1" s="567" t="str">
        <f>IF(LagerTyp="SH-Camp o. DL"," Diese Seite wird nicht für SH-Camp ohne Dienstleisungspaket verwenden","")</f>
        <v/>
      </c>
      <c r="D1" s="567"/>
      <c r="E1" s="567"/>
      <c r="F1" s="567"/>
      <c r="G1" s="567"/>
      <c r="H1" s="567"/>
      <c r="I1" s="567"/>
      <c r="J1" s="567"/>
      <c r="K1" s="567"/>
      <c r="L1" s="567"/>
    </row>
    <row r="2" spans="1:16" ht="22.5" customHeight="1" x14ac:dyDescent="0.4">
      <c r="A2" s="566"/>
      <c r="B2" s="2"/>
      <c r="C2" s="25" t="s">
        <v>138</v>
      </c>
      <c r="D2" s="4"/>
      <c r="E2" s="4"/>
      <c r="F2" s="466"/>
      <c r="G2" s="467" t="str">
        <f>LagerTyp</f>
        <v>Campart auswählen</v>
      </c>
      <c r="H2" s="2" t="s">
        <v>23</v>
      </c>
      <c r="I2" s="137" t="str">
        <f>Datenstammblatt!E3</f>
        <v>TT.MM.JJ</v>
      </c>
      <c r="J2" s="2" t="s">
        <v>41</v>
      </c>
      <c r="K2" s="137" t="str">
        <f>Datenstammblatt!G3</f>
        <v>TT.MM.JJ</v>
      </c>
      <c r="L2" s="27">
        <f>Datenstammblatt!G1</f>
        <v>2024</v>
      </c>
      <c r="N2" s="471" t="s">
        <v>383</v>
      </c>
    </row>
    <row r="3" spans="1:16" x14ac:dyDescent="0.25">
      <c r="A3" s="566"/>
      <c r="B3" s="2"/>
      <c r="C3" s="568" t="str">
        <f>"Ver. "&amp;Anleitung!H2</f>
        <v>Ver. 2024 - 1.0</v>
      </c>
      <c r="D3" s="568"/>
      <c r="E3" s="568"/>
      <c r="F3" s="568"/>
      <c r="G3" s="568"/>
      <c r="H3" s="568"/>
      <c r="I3" s="568"/>
      <c r="J3" s="568"/>
      <c r="K3" s="568"/>
      <c r="L3" s="568"/>
    </row>
    <row r="4" spans="1:16" ht="15" x14ac:dyDescent="0.25">
      <c r="A4" s="566"/>
      <c r="B4" s="2"/>
      <c r="C4" s="32" t="s">
        <v>33</v>
      </c>
      <c r="D4" s="585" t="str">
        <f>IF(I2="tt.mm.jj","",Datenstammblatt!D8&amp;" "&amp;Datenstammblatt!F8)</f>
        <v/>
      </c>
      <c r="E4" s="586"/>
      <c r="F4" s="586"/>
      <c r="G4" s="587"/>
      <c r="H4" s="589" t="s">
        <v>24</v>
      </c>
      <c r="I4" s="590"/>
      <c r="J4" s="33">
        <f>IF(I2="tt.mm.jj",0,(DAYS360(I2,K2))+1)</f>
        <v>0</v>
      </c>
      <c r="K4" s="578"/>
      <c r="L4" s="579"/>
      <c r="N4" s="471" t="s">
        <v>380</v>
      </c>
      <c r="O4" s="471" t="s">
        <v>381</v>
      </c>
      <c r="P4" s="471" t="s">
        <v>382</v>
      </c>
    </row>
    <row r="5" spans="1:16" ht="6" customHeight="1" x14ac:dyDescent="0.25">
      <c r="A5" s="566"/>
      <c r="B5" s="2"/>
      <c r="C5" s="583"/>
      <c r="D5" s="584"/>
      <c r="E5" s="584"/>
      <c r="F5" s="584"/>
      <c r="G5" s="584"/>
      <c r="H5" s="584"/>
      <c r="I5" s="584"/>
      <c r="J5" s="584"/>
      <c r="K5" s="566"/>
      <c r="L5" s="580"/>
    </row>
    <row r="6" spans="1:16" ht="15" x14ac:dyDescent="0.25">
      <c r="A6" s="566"/>
      <c r="B6" s="2"/>
      <c r="C6" s="34" t="str">
        <f>IF(OR(F2="SH-Camp",F2="Camp"),"Camp-Ort:","Kurs-Ort:")</f>
        <v>Kurs-Ort:</v>
      </c>
      <c r="D6" s="588" t="str">
        <f>IF(I2="tt.mm.jj","",Datenstammblatt!G5)</f>
        <v/>
      </c>
      <c r="E6" s="586"/>
      <c r="F6" s="586"/>
      <c r="G6" s="587"/>
      <c r="H6" s="591" t="s">
        <v>27</v>
      </c>
      <c r="I6" s="592"/>
      <c r="J6" s="35">
        <f>+Datenstammblatt!J4</f>
        <v>0</v>
      </c>
      <c r="K6" s="566"/>
      <c r="L6" s="580"/>
      <c r="N6" s="177" t="s">
        <v>38</v>
      </c>
      <c r="O6" s="177" t="s">
        <v>91</v>
      </c>
      <c r="P6" s="177" t="s">
        <v>139</v>
      </c>
    </row>
    <row r="7" spans="1:16" ht="11.25" customHeight="1" x14ac:dyDescent="0.25">
      <c r="A7" s="566"/>
      <c r="B7" s="2"/>
      <c r="C7" s="593" t="s">
        <v>34</v>
      </c>
      <c r="D7" s="594"/>
      <c r="E7" s="594"/>
      <c r="F7" s="594"/>
      <c r="G7" s="594"/>
      <c r="H7" s="594"/>
      <c r="I7" s="594"/>
      <c r="J7" s="36"/>
      <c r="K7" s="566"/>
      <c r="L7" s="580"/>
      <c r="N7" s="177" t="s">
        <v>40</v>
      </c>
      <c r="O7" s="177" t="s">
        <v>92</v>
      </c>
      <c r="P7" s="177" t="s">
        <v>140</v>
      </c>
    </row>
    <row r="8" spans="1:16" ht="15" customHeight="1" x14ac:dyDescent="0.25">
      <c r="A8" s="566"/>
      <c r="B8" s="2"/>
      <c r="C8" s="34" t="str">
        <f>IF(F2="Camp","Camp Nr:","Schulhaus:")</f>
        <v>Schulhaus:</v>
      </c>
      <c r="D8" s="529" t="str">
        <f>IF(I2="tt.mm.jj","",IF(LagerTyp="Camp",Datenstammblatt!D4,Datenstammblatt!E4))</f>
        <v/>
      </c>
      <c r="E8" s="525"/>
      <c r="F8" s="526"/>
      <c r="G8" s="182"/>
      <c r="H8" s="182"/>
      <c r="I8" s="340" t="s">
        <v>366</v>
      </c>
      <c r="J8" s="35" t="str">
        <f>IF(Datenstammblatt!L14="","",Datenstammblatt!L14)</f>
        <v>Nein</v>
      </c>
      <c r="K8" s="566"/>
      <c r="L8" s="580"/>
    </row>
    <row r="9" spans="1:16" ht="15" customHeight="1" x14ac:dyDescent="0.25">
      <c r="A9" s="566"/>
      <c r="B9" s="2"/>
      <c r="C9" s="341"/>
      <c r="D9" s="342"/>
      <c r="E9" s="342"/>
      <c r="F9" s="342"/>
      <c r="G9" s="342"/>
      <c r="H9" s="342"/>
      <c r="I9" s="343" t="s">
        <v>365</v>
      </c>
      <c r="J9" s="35"/>
      <c r="K9" s="581"/>
      <c r="L9" s="582"/>
      <c r="M9" s="353" t="str">
        <f>IF(COUNTIF(L19:L39,"J")-J9=0,"","Anzahl J&amp;S Leiter kontrolliere")</f>
        <v/>
      </c>
    </row>
    <row r="10" spans="1:16" ht="6.75" customHeight="1" x14ac:dyDescent="0.25">
      <c r="A10" s="566"/>
      <c r="B10" s="2"/>
      <c r="C10" s="569"/>
      <c r="D10" s="569"/>
      <c r="E10" s="569"/>
      <c r="F10" s="569"/>
      <c r="G10" s="569"/>
      <c r="H10" s="569"/>
      <c r="I10" s="569"/>
      <c r="J10" s="569"/>
      <c r="K10" s="569"/>
      <c r="L10" s="569"/>
      <c r="N10" s="177" t="s">
        <v>111</v>
      </c>
      <c r="O10" s="177" t="s">
        <v>111</v>
      </c>
    </row>
    <row r="11" spans="1:16" ht="15" customHeight="1" x14ac:dyDescent="0.25">
      <c r="A11" s="566"/>
      <c r="B11" s="2"/>
      <c r="C11" s="562" t="s">
        <v>25</v>
      </c>
      <c r="D11" s="563"/>
      <c r="E11" s="563"/>
      <c r="F11" s="563"/>
      <c r="G11" s="563"/>
      <c r="H11" s="563"/>
      <c r="I11" s="563"/>
      <c r="J11" s="563"/>
      <c r="K11" s="563"/>
      <c r="L11" s="564"/>
      <c r="M11" s="190" t="str">
        <f>IF(COUNTA(L19:L39)=COUNTA('Unterschriftsblatt 2.9'!C10:C30),""," Bitte Korrektur unter Korrekturposten Ausgaben vornehmen ")</f>
        <v/>
      </c>
    </row>
    <row r="12" spans="1:16" ht="15.75" customHeight="1" x14ac:dyDescent="0.25">
      <c r="A12" s="566"/>
      <c r="B12" s="2"/>
      <c r="C12" s="570" t="s">
        <v>45</v>
      </c>
      <c r="D12" s="571"/>
      <c r="E12" s="571"/>
      <c r="F12" s="571"/>
      <c r="G12" s="571"/>
      <c r="H12" s="571"/>
      <c r="I12" s="572"/>
      <c r="J12" s="29"/>
      <c r="K12" s="57" t="s">
        <v>94</v>
      </c>
      <c r="L12" s="18">
        <f>IF(OR(J12=0,J6=0),0,MIN(Datenstammblatt!J10,IF(J6="P",0,O15)+O14))</f>
        <v>0</v>
      </c>
      <c r="M12" s="190" t="str">
        <f>IF(J6="S","davon Küche","")</f>
        <v/>
      </c>
      <c r="N12" s="177" t="s">
        <v>392</v>
      </c>
    </row>
    <row r="13" spans="1:16" ht="3" customHeight="1" x14ac:dyDescent="0.25">
      <c r="A13" s="566"/>
      <c r="B13" s="2"/>
      <c r="C13" s="573">
        <v>28</v>
      </c>
      <c r="D13" s="569"/>
      <c r="E13" s="569"/>
      <c r="F13" s="569"/>
      <c r="G13" s="569"/>
      <c r="H13" s="569"/>
      <c r="I13" s="569"/>
      <c r="J13" s="569"/>
      <c r="K13" s="569"/>
      <c r="L13" s="569"/>
    </row>
    <row r="14" spans="1:16" x14ac:dyDescent="0.25">
      <c r="A14" s="566"/>
      <c r="B14" s="2"/>
      <c r="C14" s="570" t="s">
        <v>48</v>
      </c>
      <c r="D14" s="571"/>
      <c r="E14" s="571"/>
      <c r="F14" s="571"/>
      <c r="G14" s="571"/>
      <c r="H14" s="571"/>
      <c r="I14" s="572"/>
      <c r="J14" s="29"/>
      <c r="K14" s="57" t="s">
        <v>93</v>
      </c>
      <c r="L14" s="28"/>
      <c r="M14" s="190" t="str">
        <f>IF(J6="S",O15,"")</f>
        <v/>
      </c>
      <c r="N14" s="472" t="s">
        <v>19</v>
      </c>
      <c r="O14" s="177">
        <f>IFERROR(VLOOKUP(J12,Datenstammblatt!$O$4:$P$15,2,1),0)</f>
        <v>0</v>
      </c>
      <c r="P14" s="177" t="s">
        <v>219</v>
      </c>
    </row>
    <row r="15" spans="1:16" ht="15" customHeight="1" x14ac:dyDescent="0.25">
      <c r="A15" s="566"/>
      <c r="B15" s="2"/>
      <c r="C15" s="19" t="s">
        <v>46</v>
      </c>
      <c r="D15" s="5"/>
      <c r="E15" s="20"/>
      <c r="F15" s="30"/>
      <c r="G15" s="595" t="s">
        <v>47</v>
      </c>
      <c r="H15" s="596"/>
      <c r="I15" s="596"/>
      <c r="J15" s="596"/>
      <c r="K15" s="597"/>
      <c r="L15" s="28"/>
      <c r="N15" s="472" t="s">
        <v>20</v>
      </c>
      <c r="O15" s="177">
        <f>IF(J6="S",IF(J12&gt;41,3,IF(J12&gt;23,2,IF(J12&lt;19,0,1))),0)</f>
        <v>0</v>
      </c>
      <c r="P15" s="177" t="s">
        <v>220</v>
      </c>
    </row>
    <row r="16" spans="1:16" ht="6.75" customHeight="1" x14ac:dyDescent="0.25">
      <c r="A16" s="566"/>
      <c r="B16" s="2"/>
      <c r="C16" s="569"/>
      <c r="D16" s="569"/>
      <c r="E16" s="569"/>
      <c r="F16" s="569"/>
      <c r="G16" s="569"/>
      <c r="H16" s="569"/>
      <c r="I16" s="569"/>
      <c r="J16" s="569"/>
      <c r="K16" s="569"/>
      <c r="L16" s="569"/>
    </row>
    <row r="17" spans="1:24" s="192" customFormat="1" ht="15" customHeight="1" x14ac:dyDescent="0.25">
      <c r="A17" s="566"/>
      <c r="B17" s="2"/>
      <c r="C17" s="562" t="s">
        <v>216</v>
      </c>
      <c r="D17" s="563"/>
      <c r="E17" s="563"/>
      <c r="F17" s="563"/>
      <c r="G17" s="563"/>
      <c r="H17" s="563"/>
      <c r="I17" s="563"/>
      <c r="J17" s="563"/>
      <c r="K17" s="563"/>
      <c r="L17" s="564"/>
      <c r="M17" s="190"/>
      <c r="N17" s="177" t="s">
        <v>111</v>
      </c>
      <c r="O17" s="177"/>
      <c r="P17" s="178"/>
      <c r="Q17" s="178"/>
      <c r="R17" s="178"/>
      <c r="S17" s="178"/>
      <c r="T17" s="178"/>
      <c r="U17" s="177"/>
      <c r="V17" s="177"/>
      <c r="W17" s="177"/>
      <c r="X17" s="177"/>
    </row>
    <row r="18" spans="1:24" s="192" customFormat="1" x14ac:dyDescent="0.25">
      <c r="A18" s="566"/>
      <c r="B18" s="458"/>
      <c r="C18" s="598" t="s">
        <v>26</v>
      </c>
      <c r="D18" s="599"/>
      <c r="E18" s="599"/>
      <c r="F18" s="598" t="s">
        <v>35</v>
      </c>
      <c r="G18" s="599"/>
      <c r="H18" s="599"/>
      <c r="I18" s="599"/>
      <c r="J18" s="599"/>
      <c r="K18" s="599"/>
      <c r="L18" s="196" t="s">
        <v>391</v>
      </c>
      <c r="M18" s="190"/>
      <c r="N18" s="177"/>
      <c r="O18" s="177"/>
      <c r="P18" s="178"/>
      <c r="Q18" s="178"/>
      <c r="R18" s="178"/>
      <c r="S18" s="178"/>
      <c r="T18" s="178"/>
      <c r="U18" s="177"/>
      <c r="V18" s="177"/>
      <c r="W18" s="177"/>
      <c r="X18" s="177"/>
    </row>
    <row r="19" spans="1:24" s="192" customFormat="1" x14ac:dyDescent="0.25">
      <c r="A19" s="566"/>
      <c r="B19" s="458"/>
      <c r="C19" s="575" t="str">
        <f>Datenstammblatt!C30</f>
        <v>Hauptleitung</v>
      </c>
      <c r="D19" s="576"/>
      <c r="E19" s="577"/>
      <c r="F19" s="544" t="str">
        <f>IF(Datenstammblatt!G30="","",Datenstammblatt!G30)</f>
        <v/>
      </c>
      <c r="G19" s="545"/>
      <c r="H19" s="545"/>
      <c r="I19" s="545" t="str">
        <f>Datenstammblatt!B30</f>
        <v>Hauptleitung</v>
      </c>
      <c r="J19" s="545"/>
      <c r="K19" s="546"/>
      <c r="L19" s="191" t="str">
        <f>IF('Unterschriftsblatt 2.9'!C10="","",'Unterschriftsblatt 2.9'!C10)</f>
        <v xml:space="preserve"> </v>
      </c>
      <c r="M19" s="190"/>
      <c r="N19" s="177" t="s">
        <v>111</v>
      </c>
      <c r="O19" s="177"/>
      <c r="P19" s="178"/>
      <c r="Q19" s="178"/>
      <c r="R19" s="178"/>
      <c r="S19" s="178"/>
      <c r="T19" s="178"/>
      <c r="U19" s="177"/>
      <c r="V19" s="177"/>
      <c r="W19" s="177"/>
      <c r="X19" s="177"/>
    </row>
    <row r="20" spans="1:24" s="192" customFormat="1" x14ac:dyDescent="0.25">
      <c r="A20" s="566"/>
      <c r="B20" s="2"/>
      <c r="C20" s="575" t="str">
        <f>IF(J6="P","Kein Küchenchef",Datenstammblatt!C31)</f>
        <v>Küchenchef</v>
      </c>
      <c r="D20" s="576"/>
      <c r="E20" s="577"/>
      <c r="F20" s="545" t="str">
        <f>IF(Datenstammblatt!G31="","",Datenstammblatt!G31)</f>
        <v/>
      </c>
      <c r="G20" s="545"/>
      <c r="H20" s="545"/>
      <c r="I20" s="545" t="str">
        <f>Datenstammblatt!B31</f>
        <v>Küchenchef</v>
      </c>
      <c r="J20" s="545"/>
      <c r="K20" s="546"/>
      <c r="L20" s="191" t="str">
        <f>IF('Unterschriftsblatt 2.9'!C11="","",'Unterschriftsblatt 2.9'!C11)</f>
        <v xml:space="preserve"> </v>
      </c>
      <c r="M20" s="190"/>
      <c r="N20" s="177"/>
      <c r="O20" s="177"/>
      <c r="P20" s="178"/>
      <c r="Q20" s="178"/>
      <c r="R20" s="178"/>
      <c r="S20" s="178"/>
      <c r="T20" s="178"/>
      <c r="U20" s="177"/>
      <c r="V20" s="177"/>
      <c r="W20" s="177"/>
      <c r="X20" s="177"/>
    </row>
    <row r="21" spans="1:24" s="192" customFormat="1" x14ac:dyDescent="0.25">
      <c r="A21" s="566"/>
      <c r="B21" s="2"/>
      <c r="C21" s="600" t="str">
        <f>Datenstammblatt!C32</f>
        <v>MitleiterIn</v>
      </c>
      <c r="D21" s="601"/>
      <c r="E21" s="602"/>
      <c r="F21" s="544" t="str">
        <f>IF(Datenstammblatt!G32="","",Datenstammblatt!G32)</f>
        <v/>
      </c>
      <c r="G21" s="545"/>
      <c r="H21" s="545"/>
      <c r="I21" s="545" t="str">
        <f>Datenstammblatt!B32</f>
        <v>MitleiterIn</v>
      </c>
      <c r="J21" s="545"/>
      <c r="K21" s="546"/>
      <c r="L21" s="191" t="str">
        <f>IF('Unterschriftsblatt 2.9'!C12="","",'Unterschriftsblatt 2.9'!C12)</f>
        <v xml:space="preserve"> </v>
      </c>
      <c r="M21" s="190"/>
      <c r="N21" s="177"/>
      <c r="O21" s="177"/>
      <c r="P21" s="178"/>
      <c r="Q21" s="178"/>
      <c r="R21" s="178"/>
      <c r="S21" s="178"/>
      <c r="T21" s="178"/>
      <c r="U21" s="177"/>
      <c r="V21" s="177"/>
      <c r="W21" s="177"/>
      <c r="X21" s="177"/>
    </row>
    <row r="22" spans="1:24" s="192" customFormat="1" x14ac:dyDescent="0.25">
      <c r="A22" s="566"/>
      <c r="B22" s="2"/>
      <c r="C22" s="575" t="str">
        <f>Datenstammblatt!C33</f>
        <v>MitleiterIn</v>
      </c>
      <c r="D22" s="576"/>
      <c r="E22" s="577"/>
      <c r="F22" s="544" t="str">
        <f>IF(Datenstammblatt!G33="","",Datenstammblatt!G33)</f>
        <v/>
      </c>
      <c r="G22" s="545"/>
      <c r="H22" s="545"/>
      <c r="I22" s="545" t="str">
        <f>Datenstammblatt!B33</f>
        <v>MitleiterIn</v>
      </c>
      <c r="J22" s="545"/>
      <c r="K22" s="546"/>
      <c r="L22" s="191" t="str">
        <f>IF('Unterschriftsblatt 2.9'!C13="","",'Unterschriftsblatt 2.9'!C13)</f>
        <v xml:space="preserve"> </v>
      </c>
      <c r="M22" s="190"/>
      <c r="N22" s="177"/>
      <c r="O22" s="177"/>
      <c r="P22" s="178"/>
      <c r="Q22" s="178"/>
      <c r="R22" s="178"/>
      <c r="S22" s="178"/>
      <c r="T22" s="178"/>
      <c r="U22" s="177"/>
      <c r="V22" s="177"/>
      <c r="W22" s="177"/>
      <c r="X22" s="177"/>
    </row>
    <row r="23" spans="1:24" s="192" customFormat="1" x14ac:dyDescent="0.25">
      <c r="A23" s="566"/>
      <c r="B23" s="2"/>
      <c r="C23" s="575" t="str">
        <f>Datenstammblatt!C34</f>
        <v>MitleiterIn</v>
      </c>
      <c r="D23" s="576"/>
      <c r="E23" s="577"/>
      <c r="F23" s="544" t="str">
        <f>IF(Datenstammblatt!G34="","",Datenstammblatt!G34)</f>
        <v/>
      </c>
      <c r="G23" s="545"/>
      <c r="H23" s="545"/>
      <c r="I23" s="545" t="str">
        <f>Datenstammblatt!B34</f>
        <v>MitleiterIn</v>
      </c>
      <c r="J23" s="545"/>
      <c r="K23" s="546"/>
      <c r="L23" s="191" t="str">
        <f>IF('Unterschriftsblatt 2.9'!C14="","",'Unterschriftsblatt 2.9'!C14)</f>
        <v xml:space="preserve"> </v>
      </c>
      <c r="M23" s="190"/>
      <c r="N23" s="177"/>
      <c r="O23" s="177"/>
      <c r="P23" s="178"/>
      <c r="Q23" s="178"/>
      <c r="R23" s="178"/>
      <c r="S23" s="178"/>
      <c r="T23" s="178"/>
      <c r="U23" s="177"/>
      <c r="V23" s="177"/>
      <c r="W23" s="177"/>
      <c r="X23" s="177"/>
    </row>
    <row r="24" spans="1:24" s="192" customFormat="1" x14ac:dyDescent="0.25">
      <c r="A24" s="566"/>
      <c r="B24" s="2"/>
      <c r="C24" s="575" t="str">
        <f>Datenstammblatt!C35</f>
        <v>MitleiterIn</v>
      </c>
      <c r="D24" s="576"/>
      <c r="E24" s="577"/>
      <c r="F24" s="544" t="str">
        <f>IF(Datenstammblatt!G35="","",Datenstammblatt!G35)</f>
        <v/>
      </c>
      <c r="G24" s="545"/>
      <c r="H24" s="545"/>
      <c r="I24" s="545" t="str">
        <f>Datenstammblatt!B35</f>
        <v>MitleiterIn</v>
      </c>
      <c r="J24" s="545"/>
      <c r="K24" s="546"/>
      <c r="L24" s="191" t="str">
        <f>IF('Unterschriftsblatt 2.9'!C15="","",'Unterschriftsblatt 2.9'!C15)</f>
        <v xml:space="preserve"> </v>
      </c>
      <c r="M24" s="190"/>
      <c r="N24" s="177"/>
      <c r="O24" s="177"/>
      <c r="P24" s="179"/>
      <c r="Q24" s="179"/>
      <c r="R24" s="179"/>
      <c r="S24" s="179"/>
      <c r="T24" s="179"/>
      <c r="U24" s="177"/>
      <c r="V24" s="177"/>
      <c r="W24" s="177"/>
      <c r="X24" s="177"/>
    </row>
    <row r="25" spans="1:24" s="192" customFormat="1" x14ac:dyDescent="0.25">
      <c r="A25" s="566"/>
      <c r="B25" s="2"/>
      <c r="C25" s="575" t="str">
        <f>Datenstammblatt!C36</f>
        <v>MitleiterIn</v>
      </c>
      <c r="D25" s="576"/>
      <c r="E25" s="577"/>
      <c r="F25" s="544" t="str">
        <f>IF(Datenstammblatt!G36="","",Datenstammblatt!G36)</f>
        <v/>
      </c>
      <c r="G25" s="545"/>
      <c r="H25" s="545"/>
      <c r="I25" s="545" t="str">
        <f>Datenstammblatt!B36</f>
        <v>MitleiterIn</v>
      </c>
      <c r="J25" s="545"/>
      <c r="K25" s="546"/>
      <c r="L25" s="191" t="str">
        <f>IF('Unterschriftsblatt 2.9'!C16="","",'Unterschriftsblatt 2.9'!C16)</f>
        <v xml:space="preserve"> </v>
      </c>
      <c r="M25" s="190"/>
      <c r="N25" s="177"/>
      <c r="O25" s="177"/>
      <c r="P25" s="178"/>
      <c r="Q25" s="178"/>
      <c r="R25" s="178"/>
      <c r="S25" s="178"/>
      <c r="T25" s="178"/>
      <c r="U25" s="177"/>
      <c r="V25" s="177"/>
      <c r="W25" s="177"/>
      <c r="X25" s="177"/>
    </row>
    <row r="26" spans="1:24" s="192" customFormat="1" x14ac:dyDescent="0.25">
      <c r="A26" s="566"/>
      <c r="B26" s="2"/>
      <c r="C26" s="575" t="str">
        <f>Datenstammblatt!C37</f>
        <v>MitleiterIn</v>
      </c>
      <c r="D26" s="576"/>
      <c r="E26" s="577"/>
      <c r="F26" s="544" t="str">
        <f>IF(Datenstammblatt!G37="","",Datenstammblatt!G37)</f>
        <v/>
      </c>
      <c r="G26" s="545"/>
      <c r="H26" s="545"/>
      <c r="I26" s="545" t="str">
        <f>Datenstammblatt!B37</f>
        <v>MitleiterIn</v>
      </c>
      <c r="J26" s="545"/>
      <c r="K26" s="546"/>
      <c r="L26" s="191" t="str">
        <f>IF('Unterschriftsblatt 2.9'!C17="","",'Unterschriftsblatt 2.9'!C17)</f>
        <v xml:space="preserve"> </v>
      </c>
      <c r="M26" s="190"/>
      <c r="N26" s="177"/>
      <c r="O26" s="177"/>
      <c r="P26" s="178"/>
      <c r="Q26" s="178"/>
      <c r="R26" s="178"/>
      <c r="S26" s="178"/>
      <c r="T26" s="178"/>
      <c r="U26" s="177"/>
      <c r="V26" s="177"/>
      <c r="W26" s="177"/>
      <c r="X26" s="177"/>
    </row>
    <row r="27" spans="1:24" s="192" customFormat="1" x14ac:dyDescent="0.25">
      <c r="A27" s="566"/>
      <c r="B27" s="2"/>
      <c r="C27" s="575" t="str">
        <f>Datenstammblatt!C38</f>
        <v>MitleiterIn</v>
      </c>
      <c r="D27" s="576"/>
      <c r="E27" s="577"/>
      <c r="F27" s="544" t="str">
        <f>IF(Datenstammblatt!G38="","",Datenstammblatt!G38)</f>
        <v/>
      </c>
      <c r="G27" s="545"/>
      <c r="H27" s="545"/>
      <c r="I27" s="545" t="str">
        <f>Datenstammblatt!B38</f>
        <v>MitleiterIn</v>
      </c>
      <c r="J27" s="545"/>
      <c r="K27" s="546"/>
      <c r="L27" s="191" t="str">
        <f>IF('Unterschriftsblatt 2.9'!C18="","",'Unterschriftsblatt 2.9'!C18)</f>
        <v xml:space="preserve"> </v>
      </c>
      <c r="M27" s="190"/>
      <c r="N27" s="177"/>
      <c r="O27" s="177"/>
      <c r="P27" s="178"/>
      <c r="Q27" s="178"/>
      <c r="R27" s="178"/>
      <c r="S27" s="178"/>
      <c r="T27" s="178"/>
      <c r="U27" s="177"/>
      <c r="V27" s="177"/>
      <c r="W27" s="177"/>
      <c r="X27" s="177"/>
    </row>
    <row r="28" spans="1:24" s="192" customFormat="1" x14ac:dyDescent="0.25">
      <c r="A28" s="566"/>
      <c r="B28" s="2"/>
      <c r="C28" s="193" t="str">
        <f>Datenstammblatt!C39</f>
        <v>MitleiterIn</v>
      </c>
      <c r="D28" s="194"/>
      <c r="E28" s="195"/>
      <c r="F28" s="544" t="str">
        <f>IF(Datenstammblatt!G39="","",Datenstammblatt!G39)</f>
        <v/>
      </c>
      <c r="G28" s="545"/>
      <c r="H28" s="545"/>
      <c r="I28" s="545" t="str">
        <f>Datenstammblatt!B39</f>
        <v>MitleiterIn</v>
      </c>
      <c r="J28" s="545"/>
      <c r="K28" s="546"/>
      <c r="L28" s="191" t="str">
        <f>IF('Unterschriftsblatt 2.9'!C19="","",'Unterschriftsblatt 2.9'!C19)</f>
        <v xml:space="preserve"> </v>
      </c>
      <c r="M28" s="190"/>
      <c r="N28" s="177"/>
      <c r="O28" s="177"/>
      <c r="P28" s="178"/>
      <c r="Q28" s="178"/>
      <c r="R28" s="178"/>
      <c r="S28" s="178"/>
      <c r="T28" s="178"/>
      <c r="U28" s="177"/>
      <c r="V28" s="177"/>
      <c r="W28" s="177"/>
      <c r="X28" s="177"/>
    </row>
    <row r="29" spans="1:24" s="192" customFormat="1" x14ac:dyDescent="0.25">
      <c r="A29" s="566"/>
      <c r="B29" s="2"/>
      <c r="C29" s="193" t="str">
        <f>Datenstammblatt!C40</f>
        <v>MitleiterIn</v>
      </c>
      <c r="D29" s="194"/>
      <c r="E29" s="195"/>
      <c r="F29" s="544" t="str">
        <f>IF(Datenstammblatt!G40="","",Datenstammblatt!G40)</f>
        <v/>
      </c>
      <c r="G29" s="545"/>
      <c r="H29" s="545"/>
      <c r="I29" s="545" t="str">
        <f>Datenstammblatt!B40</f>
        <v>MitleiterIn</v>
      </c>
      <c r="J29" s="545"/>
      <c r="K29" s="546"/>
      <c r="L29" s="191" t="str">
        <f>IF('Unterschriftsblatt 2.9'!C20="","",'Unterschriftsblatt 2.9'!C20)</f>
        <v xml:space="preserve"> </v>
      </c>
      <c r="M29" s="190"/>
      <c r="N29" s="177"/>
      <c r="O29" s="177"/>
      <c r="P29" s="178"/>
      <c r="Q29" s="178"/>
      <c r="R29" s="178"/>
      <c r="S29" s="178"/>
      <c r="T29" s="178"/>
      <c r="U29" s="177"/>
      <c r="V29" s="177"/>
      <c r="W29" s="177"/>
      <c r="X29" s="177"/>
    </row>
    <row r="30" spans="1:24" s="192" customFormat="1" x14ac:dyDescent="0.25">
      <c r="A30" s="566"/>
      <c r="B30" s="2"/>
      <c r="C30" s="193" t="str">
        <f>Datenstammblatt!C41</f>
        <v>MitleiterIn</v>
      </c>
      <c r="D30" s="194"/>
      <c r="E30" s="195"/>
      <c r="F30" s="544" t="str">
        <f>IF(Datenstammblatt!G41="","",Datenstammblatt!G41)</f>
        <v/>
      </c>
      <c r="G30" s="545"/>
      <c r="H30" s="545"/>
      <c r="I30" s="545" t="str">
        <f>Datenstammblatt!B41</f>
        <v>MitleiterIn</v>
      </c>
      <c r="J30" s="545"/>
      <c r="K30" s="546"/>
      <c r="L30" s="191" t="str">
        <f>IF('Unterschriftsblatt 2.9'!C21="","",'Unterschriftsblatt 2.9'!C21)</f>
        <v xml:space="preserve"> </v>
      </c>
      <c r="M30" s="190"/>
      <c r="N30" s="177"/>
      <c r="O30" s="177"/>
      <c r="P30" s="178"/>
      <c r="Q30" s="178"/>
      <c r="R30" s="178"/>
      <c r="S30" s="178"/>
      <c r="T30" s="178"/>
      <c r="U30" s="177"/>
      <c r="V30" s="177"/>
      <c r="W30" s="177"/>
      <c r="X30" s="177"/>
    </row>
    <row r="31" spans="1:24" s="192" customFormat="1" x14ac:dyDescent="0.25">
      <c r="A31" s="566"/>
      <c r="B31" s="2"/>
      <c r="C31" s="193" t="str">
        <f>Datenstammblatt!C42</f>
        <v>MitleiterIn</v>
      </c>
      <c r="D31" s="194"/>
      <c r="E31" s="195"/>
      <c r="F31" s="544" t="str">
        <f>IF(Datenstammblatt!G42="","",Datenstammblatt!G42)</f>
        <v/>
      </c>
      <c r="G31" s="545"/>
      <c r="H31" s="545"/>
      <c r="I31" s="545" t="str">
        <f>Datenstammblatt!B42</f>
        <v>MitleiterIn</v>
      </c>
      <c r="J31" s="545"/>
      <c r="K31" s="546"/>
      <c r="L31" s="191" t="str">
        <f>IF('Unterschriftsblatt 2.9'!C22="","",'Unterschriftsblatt 2.9'!C22)</f>
        <v xml:space="preserve"> </v>
      </c>
      <c r="M31" s="190"/>
      <c r="N31" s="177"/>
      <c r="O31" s="177"/>
      <c r="P31" s="178"/>
      <c r="Q31" s="178"/>
      <c r="R31" s="178"/>
      <c r="S31" s="178"/>
      <c r="T31" s="178"/>
      <c r="U31" s="177"/>
      <c r="V31" s="177"/>
      <c r="W31" s="177"/>
      <c r="X31" s="177"/>
    </row>
    <row r="32" spans="1:24" s="192" customFormat="1" x14ac:dyDescent="0.25">
      <c r="A32" s="566"/>
      <c r="B32" s="2"/>
      <c r="C32" s="193" t="str">
        <f>Datenstammblatt!C43</f>
        <v>MitleiterIn</v>
      </c>
      <c r="D32" s="194"/>
      <c r="E32" s="195"/>
      <c r="F32" s="544" t="str">
        <f>IF(Datenstammblatt!G43="","",Datenstammblatt!G43)</f>
        <v/>
      </c>
      <c r="G32" s="545"/>
      <c r="H32" s="545"/>
      <c r="I32" s="545" t="str">
        <f>Datenstammblatt!B43</f>
        <v>MitleiterIn</v>
      </c>
      <c r="J32" s="545"/>
      <c r="K32" s="546"/>
      <c r="L32" s="191" t="str">
        <f>IF('Unterschriftsblatt 2.9'!C23="","",'Unterschriftsblatt 2.9'!C23)</f>
        <v xml:space="preserve"> </v>
      </c>
      <c r="M32" s="190"/>
      <c r="N32" s="177"/>
      <c r="O32" s="177"/>
      <c r="P32" s="178"/>
      <c r="Q32" s="178"/>
      <c r="R32" s="178"/>
      <c r="S32" s="178"/>
      <c r="T32" s="178"/>
      <c r="U32" s="177"/>
      <c r="V32" s="177"/>
      <c r="W32" s="177"/>
      <c r="X32" s="177"/>
    </row>
    <row r="33" spans="1:24" s="192" customFormat="1" x14ac:dyDescent="0.25">
      <c r="A33" s="566"/>
      <c r="B33" s="2"/>
      <c r="C33" s="193" t="str">
        <f>Datenstammblatt!C44</f>
        <v>MitleiterIn</v>
      </c>
      <c r="D33" s="194"/>
      <c r="E33" s="195"/>
      <c r="F33" s="544" t="str">
        <f>IF(Datenstammblatt!G44="","",Datenstammblatt!G44)</f>
        <v/>
      </c>
      <c r="G33" s="545"/>
      <c r="H33" s="545"/>
      <c r="I33" s="545" t="str">
        <f>Datenstammblatt!B44</f>
        <v>MitleiterIn</v>
      </c>
      <c r="J33" s="545"/>
      <c r="K33" s="546"/>
      <c r="L33" s="191" t="str">
        <f>IF('Unterschriftsblatt 2.9'!C24="","",'Unterschriftsblatt 2.9'!C24)</f>
        <v xml:space="preserve"> </v>
      </c>
      <c r="M33" s="190"/>
      <c r="N33" s="177"/>
      <c r="O33" s="177"/>
      <c r="P33" s="178"/>
      <c r="Q33" s="178"/>
      <c r="R33" s="178"/>
      <c r="S33" s="178"/>
      <c r="T33" s="178"/>
      <c r="U33" s="177"/>
      <c r="V33" s="177"/>
      <c r="W33" s="177"/>
      <c r="X33" s="177"/>
    </row>
    <row r="34" spans="1:24" s="192" customFormat="1" x14ac:dyDescent="0.25">
      <c r="A34" s="566"/>
      <c r="B34" s="2"/>
      <c r="C34" s="193" t="str">
        <f>Datenstammblatt!C45</f>
        <v>MitleiterIn</v>
      </c>
      <c r="D34" s="194"/>
      <c r="E34" s="195"/>
      <c r="F34" s="544" t="str">
        <f>IF(Datenstammblatt!G45="","",Datenstammblatt!G45)</f>
        <v/>
      </c>
      <c r="G34" s="545"/>
      <c r="H34" s="545"/>
      <c r="I34" s="545" t="str">
        <f>Datenstammblatt!B45</f>
        <v>MitleiterIn</v>
      </c>
      <c r="J34" s="545"/>
      <c r="K34" s="546"/>
      <c r="L34" s="191" t="str">
        <f>IF('Unterschriftsblatt 2.9'!C25="","",'Unterschriftsblatt 2.9'!C25)</f>
        <v xml:space="preserve"> </v>
      </c>
      <c r="M34" s="190"/>
      <c r="N34" s="177"/>
      <c r="O34" s="177"/>
      <c r="P34" s="178"/>
      <c r="Q34" s="178"/>
      <c r="R34" s="178"/>
      <c r="S34" s="178"/>
      <c r="T34" s="178"/>
      <c r="U34" s="177"/>
      <c r="V34" s="177"/>
      <c r="W34" s="177"/>
      <c r="X34" s="177"/>
    </row>
    <row r="35" spans="1:24" s="192" customFormat="1" x14ac:dyDescent="0.25">
      <c r="A35" s="566"/>
      <c r="B35" s="2"/>
      <c r="C35" s="193" t="str">
        <f>Datenstammblatt!C46</f>
        <v>MitleiterIn</v>
      </c>
      <c r="D35" s="194"/>
      <c r="E35" s="195"/>
      <c r="F35" s="544" t="str">
        <f>IF(Datenstammblatt!G46="","",Datenstammblatt!G46)</f>
        <v/>
      </c>
      <c r="G35" s="545"/>
      <c r="H35" s="545"/>
      <c r="I35" s="545" t="str">
        <f>Datenstammblatt!B46</f>
        <v>MitleiterIn</v>
      </c>
      <c r="J35" s="545"/>
      <c r="K35" s="546"/>
      <c r="L35" s="191" t="str">
        <f>IF('Unterschriftsblatt 2.9'!C26="","",'Unterschriftsblatt 2.9'!C26)</f>
        <v xml:space="preserve"> </v>
      </c>
      <c r="M35" s="190"/>
      <c r="N35" s="177"/>
      <c r="O35" s="177"/>
      <c r="P35" s="178"/>
      <c r="Q35" s="178"/>
      <c r="R35" s="178"/>
      <c r="S35" s="178"/>
      <c r="T35" s="178"/>
      <c r="U35" s="177"/>
      <c r="V35" s="177"/>
      <c r="W35" s="177"/>
      <c r="X35" s="177"/>
    </row>
    <row r="36" spans="1:24" s="192" customFormat="1" x14ac:dyDescent="0.25">
      <c r="A36" s="566"/>
      <c r="B36" s="2"/>
      <c r="C36" s="193" t="str">
        <f>Datenstammblatt!C47</f>
        <v>MitleiterIn</v>
      </c>
      <c r="D36" s="194"/>
      <c r="E36" s="195"/>
      <c r="F36" s="544" t="str">
        <f>IF(Datenstammblatt!G47="","",Datenstammblatt!G47)</f>
        <v/>
      </c>
      <c r="G36" s="545"/>
      <c r="H36" s="545"/>
      <c r="I36" s="545" t="str">
        <f>Datenstammblatt!B47</f>
        <v>MitleiterIn</v>
      </c>
      <c r="J36" s="545"/>
      <c r="K36" s="546"/>
      <c r="L36" s="191" t="str">
        <f>IF('Unterschriftsblatt 2.9'!C27="","",'Unterschriftsblatt 2.9'!C27)</f>
        <v xml:space="preserve"> </v>
      </c>
      <c r="M36" s="190"/>
      <c r="N36" s="177"/>
      <c r="O36" s="177"/>
      <c r="P36" s="178"/>
      <c r="Q36" s="178"/>
      <c r="R36" s="178"/>
      <c r="S36" s="178"/>
      <c r="T36" s="178"/>
      <c r="U36" s="177"/>
      <c r="V36" s="177"/>
      <c r="W36" s="177"/>
      <c r="X36" s="177"/>
    </row>
    <row r="37" spans="1:24" s="192" customFormat="1" x14ac:dyDescent="0.25">
      <c r="A37" s="566"/>
      <c r="B37" s="2"/>
      <c r="C37" s="193" t="str">
        <f>Datenstammblatt!C48</f>
        <v>MitleiterIn</v>
      </c>
      <c r="D37" s="194"/>
      <c r="E37" s="195"/>
      <c r="F37" s="544" t="str">
        <f>IF(Datenstammblatt!G48="","",Datenstammblatt!G48)</f>
        <v/>
      </c>
      <c r="G37" s="545"/>
      <c r="H37" s="545"/>
      <c r="I37" s="545" t="str">
        <f>Datenstammblatt!B48</f>
        <v>MitleiterIn</v>
      </c>
      <c r="J37" s="545"/>
      <c r="K37" s="546"/>
      <c r="L37" s="191" t="str">
        <f>IF('Unterschriftsblatt 2.9'!C28="","",'Unterschriftsblatt 2.9'!C28)</f>
        <v xml:space="preserve"> </v>
      </c>
      <c r="M37" s="190"/>
      <c r="N37" s="177"/>
      <c r="O37" s="177"/>
      <c r="P37" s="178"/>
      <c r="Q37" s="178"/>
      <c r="R37" s="178"/>
      <c r="S37" s="178"/>
      <c r="T37" s="178"/>
      <c r="U37" s="177"/>
      <c r="V37" s="177"/>
      <c r="W37" s="177"/>
      <c r="X37" s="177"/>
    </row>
    <row r="38" spans="1:24" s="192" customFormat="1" x14ac:dyDescent="0.25">
      <c r="A38" s="566"/>
      <c r="B38" s="2"/>
      <c r="C38" s="193" t="str">
        <f>Datenstammblatt!C49</f>
        <v>MitleiterIn</v>
      </c>
      <c r="D38" s="194"/>
      <c r="E38" s="195"/>
      <c r="F38" s="544" t="str">
        <f>IF(Datenstammblatt!G49="","",Datenstammblatt!G49)</f>
        <v/>
      </c>
      <c r="G38" s="545"/>
      <c r="H38" s="545"/>
      <c r="I38" s="545" t="str">
        <f>Datenstammblatt!B49</f>
        <v>MitleiterIn</v>
      </c>
      <c r="J38" s="545"/>
      <c r="K38" s="546"/>
      <c r="L38" s="191" t="str">
        <f>IF('Unterschriftsblatt 2.9'!C29="","",'Unterschriftsblatt 2.9'!C29)</f>
        <v xml:space="preserve"> </v>
      </c>
      <c r="M38" s="190"/>
      <c r="N38" s="177"/>
      <c r="O38" s="177"/>
      <c r="P38" s="178"/>
      <c r="Q38" s="178"/>
      <c r="R38" s="178"/>
      <c r="S38" s="178"/>
      <c r="T38" s="178"/>
      <c r="U38" s="177"/>
      <c r="V38" s="177"/>
      <c r="W38" s="177"/>
      <c r="X38" s="177"/>
    </row>
    <row r="39" spans="1:24" s="192" customFormat="1" x14ac:dyDescent="0.25">
      <c r="A39" s="566"/>
      <c r="B39" s="2"/>
      <c r="C39" s="193" t="str">
        <f>Datenstammblatt!C50</f>
        <v>MitleiterIn</v>
      </c>
      <c r="D39" s="194"/>
      <c r="E39" s="195"/>
      <c r="F39" s="544" t="str">
        <f>IF(Datenstammblatt!G50="","",Datenstammblatt!G50)</f>
        <v/>
      </c>
      <c r="G39" s="545"/>
      <c r="H39" s="545"/>
      <c r="I39" s="545" t="str">
        <f>Datenstammblatt!B50</f>
        <v>MitleiterIn</v>
      </c>
      <c r="J39" s="545"/>
      <c r="K39" s="546"/>
      <c r="L39" s="191" t="str">
        <f>IF('Unterschriftsblatt 2.9'!C30="","",'Unterschriftsblatt 2.9'!C30)</f>
        <v xml:space="preserve"> </v>
      </c>
      <c r="N39" s="177" t="s">
        <v>141</v>
      </c>
      <c r="O39" s="177">
        <f>COUNTIF(L20:L39,"J")</f>
        <v>0</v>
      </c>
      <c r="P39" s="471" t="s">
        <v>384</v>
      </c>
      <c r="Q39" s="178"/>
      <c r="R39" s="178"/>
      <c r="S39" s="178"/>
      <c r="T39" s="178"/>
      <c r="U39" s="177"/>
      <c r="V39" s="177"/>
      <c r="W39" s="177"/>
      <c r="X39" s="177"/>
    </row>
    <row r="40" spans="1:24" ht="6.75" customHeight="1" x14ac:dyDescent="0.25">
      <c r="A40" s="566"/>
      <c r="B40" s="2"/>
      <c r="C40" s="574"/>
      <c r="D40" s="574"/>
      <c r="E40" s="574"/>
      <c r="F40" s="574"/>
      <c r="G40" s="574"/>
      <c r="H40" s="574"/>
      <c r="I40" s="574"/>
      <c r="J40" s="574"/>
      <c r="K40" s="574"/>
      <c r="L40" s="574"/>
      <c r="P40" s="178"/>
      <c r="Q40" s="178"/>
      <c r="R40" s="178"/>
      <c r="S40" s="178"/>
      <c r="T40" s="178"/>
    </row>
    <row r="41" spans="1:24" ht="15" customHeight="1" x14ac:dyDescent="0.25">
      <c r="A41" s="566"/>
      <c r="B41" s="2"/>
      <c r="C41" s="562" t="s">
        <v>29</v>
      </c>
      <c r="D41" s="563"/>
      <c r="E41" s="563"/>
      <c r="F41" s="563"/>
      <c r="G41" s="563"/>
      <c r="H41" s="563"/>
      <c r="I41" s="563"/>
      <c r="J41" s="563"/>
      <c r="K41" s="563"/>
      <c r="L41" s="564" t="s">
        <v>0</v>
      </c>
      <c r="P41" s="178"/>
      <c r="Q41" s="178"/>
      <c r="R41" s="178"/>
      <c r="S41" s="178"/>
      <c r="T41" s="178"/>
    </row>
    <row r="42" spans="1:24" ht="15" customHeight="1" x14ac:dyDescent="0.25">
      <c r="A42" s="566"/>
      <c r="B42" s="2"/>
      <c r="C42" s="8" t="s">
        <v>49</v>
      </c>
      <c r="D42" s="603"/>
      <c r="E42" s="604"/>
      <c r="F42" s="604"/>
      <c r="G42" s="604"/>
      <c r="H42" s="604"/>
      <c r="I42" s="604"/>
      <c r="J42" s="604"/>
      <c r="K42" s="604"/>
      <c r="L42" s="605"/>
      <c r="P42" s="178"/>
      <c r="Q42" s="178"/>
      <c r="R42" s="178"/>
      <c r="S42" s="178"/>
      <c r="T42" s="178"/>
    </row>
    <row r="43" spans="1:24" ht="15.75" customHeight="1" x14ac:dyDescent="0.25">
      <c r="A43" s="566"/>
      <c r="B43" s="2"/>
      <c r="C43" s="7">
        <v>2.1</v>
      </c>
      <c r="D43" s="558" t="s">
        <v>1</v>
      </c>
      <c r="E43" s="559"/>
      <c r="F43" s="559"/>
      <c r="G43" s="559"/>
      <c r="H43" s="559"/>
      <c r="I43" s="559"/>
      <c r="J43" s="559"/>
      <c r="K43" s="560"/>
      <c r="L43" s="354">
        <f>'Positionen 2.1 - 2.4'!F4</f>
        <v>0</v>
      </c>
      <c r="P43" s="178"/>
      <c r="Q43" s="178"/>
      <c r="R43" s="178"/>
      <c r="S43" s="178"/>
      <c r="T43" s="178"/>
    </row>
    <row r="44" spans="1:24" ht="15.75" customHeight="1" x14ac:dyDescent="0.25">
      <c r="A44" s="566"/>
      <c r="B44" s="2"/>
      <c r="C44" s="7">
        <v>2.2000000000000002</v>
      </c>
      <c r="D44" s="558" t="s">
        <v>79</v>
      </c>
      <c r="E44" s="559"/>
      <c r="F44" s="559"/>
      <c r="G44" s="559"/>
      <c r="H44" s="559"/>
      <c r="I44" s="559"/>
      <c r="J44" s="559"/>
      <c r="K44" s="560"/>
      <c r="L44" s="354">
        <f>'Positionen 2.1 - 2.4'!F19</f>
        <v>0</v>
      </c>
      <c r="P44" s="178"/>
      <c r="Q44" s="178"/>
      <c r="R44" s="178"/>
      <c r="S44" s="178"/>
      <c r="T44" s="178"/>
    </row>
    <row r="45" spans="1:24" ht="15.75" customHeight="1" x14ac:dyDescent="0.25">
      <c r="A45" s="566"/>
      <c r="B45" s="2"/>
      <c r="C45" s="7">
        <v>2.2999999999999998</v>
      </c>
      <c r="D45" s="558" t="s">
        <v>50</v>
      </c>
      <c r="E45" s="559"/>
      <c r="F45" s="559"/>
      <c r="G45" s="559"/>
      <c r="H45" s="559"/>
      <c r="I45" s="559"/>
      <c r="J45" s="559"/>
      <c r="K45" s="560"/>
      <c r="L45" s="354">
        <f>'Positionen 2.1 - 2.4'!F23</f>
        <v>0</v>
      </c>
      <c r="P45" s="178"/>
      <c r="Q45" s="178"/>
      <c r="R45" s="178"/>
      <c r="S45" s="178"/>
      <c r="T45" s="178"/>
    </row>
    <row r="46" spans="1:24" ht="15.75" customHeight="1" x14ac:dyDescent="0.25">
      <c r="A46" s="566"/>
      <c r="B46" s="2"/>
      <c r="C46" s="7">
        <v>2.4</v>
      </c>
      <c r="D46" s="565" t="s">
        <v>379</v>
      </c>
      <c r="E46" s="559"/>
      <c r="F46" s="559"/>
      <c r="G46" s="559"/>
      <c r="H46" s="559"/>
      <c r="I46" s="559"/>
      <c r="J46" s="559"/>
      <c r="K46" s="560"/>
      <c r="L46" s="354">
        <f>'Positionen 2.1 - 2.4'!F37</f>
        <v>0</v>
      </c>
      <c r="P46" s="178"/>
      <c r="Q46" s="178"/>
      <c r="R46" s="178"/>
      <c r="S46" s="178"/>
      <c r="T46" s="178"/>
    </row>
    <row r="47" spans="1:24" ht="15.75" customHeight="1" x14ac:dyDescent="0.25">
      <c r="A47" s="566"/>
      <c r="B47" s="2"/>
      <c r="C47" s="7">
        <v>2.5</v>
      </c>
      <c r="D47" s="565" t="s">
        <v>387</v>
      </c>
      <c r="E47" s="559"/>
      <c r="F47" s="559"/>
      <c r="G47" s="559"/>
      <c r="H47" s="559"/>
      <c r="I47" s="559"/>
      <c r="J47" s="559"/>
      <c r="K47" s="560"/>
      <c r="L47" s="355"/>
      <c r="O47" s="177" t="s">
        <v>148</v>
      </c>
      <c r="P47" s="178"/>
      <c r="Q47" s="178"/>
      <c r="R47" s="178"/>
      <c r="T47" s="178"/>
    </row>
    <row r="48" spans="1:24" ht="15.75" customHeight="1" x14ac:dyDescent="0.25">
      <c r="A48" s="566"/>
      <c r="B48" s="2"/>
      <c r="C48" s="7">
        <v>2.6</v>
      </c>
      <c r="D48" s="565" t="s">
        <v>388</v>
      </c>
      <c r="E48" s="559"/>
      <c r="F48" s="559"/>
      <c r="G48" s="559"/>
      <c r="H48" s="559"/>
      <c r="I48" s="559"/>
      <c r="J48" s="559"/>
      <c r="K48" s="560"/>
      <c r="L48" s="355">
        <f>'Verpfl. 2.6'!I44</f>
        <v>0</v>
      </c>
      <c r="O48" s="473" t="s">
        <v>149</v>
      </c>
      <c r="P48" s="473" t="s">
        <v>150</v>
      </c>
      <c r="Q48" s="473" t="s">
        <v>151</v>
      </c>
      <c r="R48" s="473" t="s">
        <v>3173</v>
      </c>
      <c r="T48" s="178"/>
    </row>
    <row r="49" spans="1:21" ht="15.75" customHeight="1" x14ac:dyDescent="0.25">
      <c r="A49" s="566"/>
      <c r="B49" s="2"/>
      <c r="C49" s="7">
        <v>2.7</v>
      </c>
      <c r="D49" s="558" t="s">
        <v>2</v>
      </c>
      <c r="E49" s="559"/>
      <c r="F49" s="559"/>
      <c r="G49" s="559"/>
      <c r="H49" s="559"/>
      <c r="I49" s="559"/>
      <c r="J49" s="559"/>
      <c r="K49" s="560"/>
      <c r="L49" s="355"/>
      <c r="N49" s="177" t="s">
        <v>153</v>
      </c>
      <c r="O49" s="473">
        <v>150</v>
      </c>
      <c r="P49" s="473">
        <v>200</v>
      </c>
      <c r="Q49" s="473"/>
      <c r="R49" s="473"/>
      <c r="T49" s="178"/>
    </row>
    <row r="50" spans="1:21" ht="15.75" customHeight="1" x14ac:dyDescent="0.25">
      <c r="A50" s="566"/>
      <c r="B50" s="2"/>
      <c r="C50" s="7">
        <v>2.8</v>
      </c>
      <c r="D50" s="558" t="s">
        <v>39</v>
      </c>
      <c r="E50" s="559"/>
      <c r="F50" s="559"/>
      <c r="G50" s="559"/>
      <c r="H50" s="559"/>
      <c r="I50" s="559"/>
      <c r="J50" s="559"/>
      <c r="K50" s="560"/>
      <c r="L50" s="354">
        <f>SUM(J12,L12:L15)*2</f>
        <v>0</v>
      </c>
      <c r="N50" s="177" t="s">
        <v>154</v>
      </c>
      <c r="O50" s="473">
        <v>100</v>
      </c>
      <c r="P50" s="473">
        <v>140</v>
      </c>
      <c r="Q50" s="473">
        <v>80</v>
      </c>
      <c r="R50" s="473">
        <v>45</v>
      </c>
      <c r="T50" s="178"/>
    </row>
    <row r="51" spans="1:21" ht="15.75" customHeight="1" x14ac:dyDescent="0.25">
      <c r="A51" s="566"/>
      <c r="B51" s="2"/>
      <c r="C51" s="7">
        <v>2.9</v>
      </c>
      <c r="D51" s="558" t="s">
        <v>51</v>
      </c>
      <c r="E51" s="559"/>
      <c r="F51" s="559"/>
      <c r="G51" s="559"/>
      <c r="H51" s="559"/>
      <c r="I51" s="559"/>
      <c r="J51" s="559"/>
      <c r="K51" s="560"/>
      <c r="L51" s="354">
        <f>IF(OR(J4=0,F2="Campart auswählen"),0,IF(J6="P",N52,N52+N53)+N54)</f>
        <v>0</v>
      </c>
      <c r="M51" s="190" t="str">
        <f>IF(L51='Unterschriftsblatt 2.9'!F32,"o.k.","Differenz!")</f>
        <v>o.k.</v>
      </c>
      <c r="O51" s="178"/>
      <c r="P51" s="178"/>
      <c r="Q51" s="178"/>
      <c r="R51" s="178"/>
      <c r="T51" s="178"/>
    </row>
    <row r="52" spans="1:21" ht="15.75" customHeight="1" x14ac:dyDescent="0.25">
      <c r="A52" s="566"/>
      <c r="B52" s="2"/>
      <c r="C52" s="10">
        <v>3</v>
      </c>
      <c r="D52" s="558" t="s">
        <v>77</v>
      </c>
      <c r="E52" s="559"/>
      <c r="F52" s="559"/>
      <c r="G52" s="559"/>
      <c r="H52" s="559"/>
      <c r="I52" s="559"/>
      <c r="J52" s="559"/>
      <c r="K52" s="560"/>
      <c r="L52" s="354">
        <f>'J+S-Abrechnung 3.0'!I37</f>
        <v>0</v>
      </c>
      <c r="N52" s="178">
        <f>(P49+((O14-1+L15)*Q50*J4+J4*P50))+O39*J4*R50</f>
        <v>200</v>
      </c>
      <c r="O52" s="178" t="s">
        <v>21</v>
      </c>
      <c r="P52" s="178"/>
      <c r="Q52" s="178"/>
      <c r="R52" s="178"/>
      <c r="S52" s="178"/>
      <c r="T52" s="178"/>
    </row>
    <row r="53" spans="1:21" ht="15.75" customHeight="1" x14ac:dyDescent="0.25">
      <c r="A53" s="566"/>
      <c r="B53" s="2"/>
      <c r="C53" s="7">
        <v>3.1</v>
      </c>
      <c r="D53" s="558" t="s">
        <v>30</v>
      </c>
      <c r="E53" s="559"/>
      <c r="F53" s="559"/>
      <c r="G53" s="559"/>
      <c r="H53" s="559"/>
      <c r="I53" s="559"/>
      <c r="J53" s="559"/>
      <c r="K53" s="560"/>
      <c r="L53" s="355"/>
      <c r="N53" s="178">
        <f>IF(J6="S",(O49+(J4*O50))+(J4*(O15-1)*Q50),0)</f>
        <v>0</v>
      </c>
      <c r="O53" s="178" t="s">
        <v>22</v>
      </c>
      <c r="P53" s="178"/>
      <c r="Q53" s="178"/>
      <c r="R53" s="178"/>
      <c r="S53" s="178"/>
      <c r="T53" s="178"/>
    </row>
    <row r="54" spans="1:21" ht="15.75" customHeight="1" thickBot="1" x14ac:dyDescent="0.3">
      <c r="A54" s="566"/>
      <c r="B54" s="2"/>
      <c r="C54" s="9">
        <v>3.2</v>
      </c>
      <c r="D54" s="558" t="s">
        <v>5</v>
      </c>
      <c r="E54" s="559"/>
      <c r="F54" s="559"/>
      <c r="G54" s="559"/>
      <c r="H54" s="559"/>
      <c r="I54" s="559"/>
      <c r="J54" s="7">
        <f>J14</f>
        <v>0</v>
      </c>
      <c r="K54" s="5" t="s">
        <v>31</v>
      </c>
      <c r="L54" s="354">
        <f>J54*200</f>
        <v>0</v>
      </c>
      <c r="N54" s="474">
        <f>-J66</f>
        <v>0</v>
      </c>
      <c r="O54" s="177" t="s">
        <v>214</v>
      </c>
      <c r="P54" s="178"/>
      <c r="Q54" s="178"/>
      <c r="R54" s="178"/>
      <c r="S54" s="178"/>
      <c r="T54" s="178"/>
    </row>
    <row r="55" spans="1:21" ht="15" customHeight="1" thickBot="1" x14ac:dyDescent="0.3">
      <c r="A55" s="566"/>
      <c r="B55" s="2"/>
      <c r="C55" s="607" t="s">
        <v>3</v>
      </c>
      <c r="D55" s="608"/>
      <c r="E55" s="608"/>
      <c r="F55" s="608"/>
      <c r="G55" s="608"/>
      <c r="H55" s="608"/>
      <c r="I55" s="608"/>
      <c r="J55" s="608"/>
      <c r="K55" s="609"/>
      <c r="L55" s="356">
        <f>SUM(L42:L54)</f>
        <v>0</v>
      </c>
      <c r="N55" s="178"/>
      <c r="P55" s="178"/>
      <c r="Q55" s="178"/>
      <c r="R55" s="178"/>
      <c r="S55" s="178"/>
      <c r="T55" s="178"/>
      <c r="U55" s="475"/>
    </row>
    <row r="56" spans="1:21" ht="6.75" customHeight="1" x14ac:dyDescent="0.25">
      <c r="A56" s="566"/>
      <c r="B56" s="2"/>
      <c r="C56" s="561"/>
      <c r="D56" s="561"/>
      <c r="E56" s="561"/>
      <c r="F56" s="561"/>
      <c r="G56" s="561"/>
      <c r="H56" s="561"/>
      <c r="I56" s="561"/>
      <c r="J56" s="561"/>
      <c r="K56" s="561"/>
      <c r="L56" s="561"/>
      <c r="P56" s="178"/>
      <c r="Q56" s="178"/>
      <c r="R56" s="178"/>
      <c r="S56" s="178"/>
      <c r="T56" s="178"/>
    </row>
    <row r="57" spans="1:21" ht="15" customHeight="1" x14ac:dyDescent="0.25">
      <c r="A57" s="566"/>
      <c r="B57" s="2"/>
      <c r="C57" s="562" t="s">
        <v>83</v>
      </c>
      <c r="D57" s="563"/>
      <c r="E57" s="563"/>
      <c r="F57" s="563"/>
      <c r="G57" s="563"/>
      <c r="H57" s="563"/>
      <c r="I57" s="563"/>
      <c r="J57" s="563"/>
      <c r="K57" s="563"/>
      <c r="L57" s="564"/>
      <c r="P57" s="178"/>
      <c r="Q57" s="178"/>
      <c r="R57" s="178"/>
      <c r="S57" s="178"/>
      <c r="T57" s="178"/>
    </row>
    <row r="58" spans="1:21" ht="15" customHeight="1" x14ac:dyDescent="0.25">
      <c r="A58" s="566"/>
      <c r="B58" s="2"/>
      <c r="C58" s="558" t="s">
        <v>32</v>
      </c>
      <c r="D58" s="559"/>
      <c r="E58" s="559"/>
      <c r="F58" s="559"/>
      <c r="G58" s="559"/>
      <c r="H58" s="559"/>
      <c r="I58" s="357">
        <f>Vorschuss!F14</f>
        <v>0</v>
      </c>
      <c r="J58" s="547"/>
      <c r="K58" s="548"/>
      <c r="L58" s="549"/>
      <c r="P58" s="178"/>
      <c r="Q58" s="178"/>
      <c r="R58" s="178"/>
      <c r="S58" s="178"/>
      <c r="T58" s="178"/>
    </row>
    <row r="59" spans="1:21" ht="15.75" customHeight="1" x14ac:dyDescent="0.25">
      <c r="A59" s="566"/>
      <c r="B59" s="2"/>
      <c r="C59" s="565" t="s">
        <v>238</v>
      </c>
      <c r="D59" s="559"/>
      <c r="E59" s="559"/>
      <c r="F59" s="559"/>
      <c r="G59" s="559"/>
      <c r="H59" s="559"/>
      <c r="I59" s="357">
        <f>+'Positionen 2.1 - 2.4'!F4</f>
        <v>0</v>
      </c>
      <c r="J59" s="550"/>
      <c r="K59" s="551"/>
      <c r="L59" s="552"/>
      <c r="P59" s="178"/>
      <c r="Q59" s="178"/>
      <c r="R59" s="178"/>
      <c r="S59" s="178"/>
      <c r="T59" s="178"/>
    </row>
    <row r="60" spans="1:21" ht="15.75" customHeight="1" x14ac:dyDescent="0.25">
      <c r="A60" s="566"/>
      <c r="B60" s="2"/>
      <c r="C60" s="565" t="s">
        <v>240</v>
      </c>
      <c r="D60" s="613"/>
      <c r="E60" s="613"/>
      <c r="F60" s="613"/>
      <c r="G60" s="613"/>
      <c r="H60" s="614"/>
      <c r="I60" s="357"/>
      <c r="J60" s="550"/>
      <c r="K60" s="551"/>
      <c r="L60" s="552"/>
      <c r="P60" s="178"/>
      <c r="Q60" s="178"/>
      <c r="R60" s="178"/>
      <c r="S60" s="178"/>
      <c r="T60" s="178"/>
    </row>
    <row r="61" spans="1:21" ht="15.75" customHeight="1" x14ac:dyDescent="0.25">
      <c r="A61" s="566"/>
      <c r="B61" s="2"/>
      <c r="C61" s="565" t="s">
        <v>389</v>
      </c>
      <c r="D61" s="613"/>
      <c r="E61" s="613"/>
      <c r="F61" s="613"/>
      <c r="G61" s="613"/>
      <c r="H61" s="614"/>
      <c r="I61" s="357">
        <f>+L47</f>
        <v>0</v>
      </c>
      <c r="J61" s="550"/>
      <c r="K61" s="551"/>
      <c r="L61" s="552"/>
      <c r="P61" s="178"/>
      <c r="Q61" s="178"/>
      <c r="R61" s="178"/>
      <c r="S61" s="178"/>
      <c r="T61" s="178"/>
    </row>
    <row r="62" spans="1:21" ht="15.75" customHeight="1" x14ac:dyDescent="0.25">
      <c r="A62" s="566"/>
      <c r="B62" s="2"/>
      <c r="C62" s="216" t="s">
        <v>385</v>
      </c>
      <c r="D62" s="198"/>
      <c r="E62" s="198"/>
      <c r="F62" s="198"/>
      <c r="G62" s="198"/>
      <c r="H62" s="198"/>
      <c r="I62" s="357"/>
      <c r="J62" s="550"/>
      <c r="K62" s="551"/>
      <c r="L62" s="552"/>
      <c r="P62" s="178"/>
      <c r="Q62" s="178"/>
      <c r="R62" s="178"/>
      <c r="S62" s="178"/>
      <c r="T62" s="178"/>
    </row>
    <row r="63" spans="1:21" ht="15.75" customHeight="1" x14ac:dyDescent="0.25">
      <c r="A63" s="566"/>
      <c r="B63" s="2"/>
      <c r="C63" s="216" t="s">
        <v>239</v>
      </c>
      <c r="D63" s="198"/>
      <c r="E63" s="198"/>
      <c r="F63" s="198"/>
      <c r="G63" s="198"/>
      <c r="H63" s="198"/>
      <c r="I63" s="357">
        <f>+L49</f>
        <v>0</v>
      </c>
      <c r="J63" s="550"/>
      <c r="K63" s="551"/>
      <c r="L63" s="552"/>
      <c r="P63" s="178"/>
      <c r="Q63" s="178"/>
      <c r="R63" s="178"/>
      <c r="S63" s="178"/>
      <c r="T63" s="178"/>
    </row>
    <row r="64" spans="1:21" ht="15.75" customHeight="1" x14ac:dyDescent="0.25">
      <c r="A64" s="566"/>
      <c r="B64" s="2"/>
      <c r="C64" s="565" t="s">
        <v>386</v>
      </c>
      <c r="D64" s="559"/>
      <c r="E64" s="559"/>
      <c r="F64" s="559"/>
      <c r="G64" s="559"/>
      <c r="H64" s="559"/>
      <c r="I64" s="357"/>
      <c r="J64" s="550"/>
      <c r="K64" s="551"/>
      <c r="L64" s="552"/>
      <c r="P64" s="178"/>
      <c r="Q64" s="178"/>
      <c r="R64" s="178"/>
      <c r="S64" s="178"/>
      <c r="T64" s="178"/>
    </row>
    <row r="65" spans="1:22" ht="15.75" customHeight="1" x14ac:dyDescent="0.25">
      <c r="A65" s="566"/>
      <c r="B65" s="2"/>
      <c r="C65" s="585"/>
      <c r="D65" s="615"/>
      <c r="E65" s="615"/>
      <c r="F65" s="615"/>
      <c r="G65" s="615"/>
      <c r="H65" s="615"/>
      <c r="I65" s="357"/>
      <c r="J65" s="550"/>
      <c r="K65" s="551"/>
      <c r="L65" s="552"/>
      <c r="P65" s="178"/>
      <c r="Q65" s="178"/>
      <c r="R65" s="178"/>
      <c r="S65" s="178"/>
      <c r="T65" s="178"/>
    </row>
    <row r="66" spans="1:22" ht="15.75" customHeight="1" thickBot="1" x14ac:dyDescent="0.3">
      <c r="A66" s="566"/>
      <c r="B66" s="2"/>
      <c r="C66" s="555" t="s">
        <v>215</v>
      </c>
      <c r="D66" s="556"/>
      <c r="E66" s="556"/>
      <c r="F66" s="556"/>
      <c r="G66" s="556"/>
      <c r="H66" s="556"/>
      <c r="I66" s="557"/>
      <c r="J66" s="553"/>
      <c r="K66" s="554"/>
      <c r="L66" s="187"/>
      <c r="N66" s="476"/>
      <c r="O66" s="477" t="s">
        <v>311</v>
      </c>
      <c r="P66" s="478"/>
      <c r="Q66" s="479" t="s">
        <v>312</v>
      </c>
      <c r="R66" s="478"/>
      <c r="S66" s="477" t="s">
        <v>317</v>
      </c>
    </row>
    <row r="67" spans="1:22" ht="15.75" customHeight="1" thickBot="1" x14ac:dyDescent="0.3">
      <c r="A67" s="566"/>
      <c r="B67" s="2"/>
      <c r="C67" s="610" t="s">
        <v>4</v>
      </c>
      <c r="D67" s="611"/>
      <c r="E67" s="611"/>
      <c r="F67" s="611"/>
      <c r="G67" s="611"/>
      <c r="H67" s="611"/>
      <c r="I67" s="611"/>
      <c r="J67" s="611"/>
      <c r="K67" s="612"/>
      <c r="L67" s="356">
        <f>SUM(I58:I65)</f>
        <v>0</v>
      </c>
      <c r="N67" s="477" t="s">
        <v>314</v>
      </c>
      <c r="O67" s="476"/>
      <c r="P67" s="477" t="s">
        <v>315</v>
      </c>
      <c r="Q67" s="476"/>
      <c r="R67" s="479" t="s">
        <v>3176</v>
      </c>
      <c r="T67" s="477" t="s">
        <v>313</v>
      </c>
      <c r="U67" s="475"/>
      <c r="V67" s="475"/>
    </row>
    <row r="68" spans="1:22" ht="6.75" customHeight="1" thickBot="1" x14ac:dyDescent="0.3">
      <c r="A68" s="566"/>
      <c r="B68" s="2"/>
      <c r="C68" s="186"/>
      <c r="D68" s="186"/>
      <c r="E68" s="186"/>
      <c r="F68" s="186"/>
      <c r="G68" s="186"/>
      <c r="H68" s="186"/>
      <c r="I68" s="186"/>
      <c r="J68" s="186"/>
      <c r="K68" s="186"/>
      <c r="L68" s="358"/>
      <c r="N68" s="476"/>
      <c r="O68" s="478"/>
      <c r="P68" s="478"/>
      <c r="Q68" s="478"/>
      <c r="R68" s="478"/>
      <c r="S68" s="476"/>
      <c r="T68" s="478"/>
    </row>
    <row r="69" spans="1:22" ht="19.5" customHeight="1" thickBot="1" x14ac:dyDescent="0.35">
      <c r="A69" s="566"/>
      <c r="B69" s="2"/>
      <c r="C69" s="188" t="str">
        <f>IF(L55-L67&gt;0,"Saldo zu Gunsten Hauptleitung","Saldo zu Gunsten schneezüri")</f>
        <v>Saldo zu Gunsten schneezüri</v>
      </c>
      <c r="D69" s="184"/>
      <c r="E69" s="184"/>
      <c r="F69" s="184"/>
      <c r="G69" s="184"/>
      <c r="H69" s="184"/>
      <c r="I69" s="184"/>
      <c r="J69" s="184"/>
      <c r="K69" s="185"/>
      <c r="L69" s="359">
        <f>L55-L67</f>
        <v>0</v>
      </c>
      <c r="N69" s="480">
        <f>+L43+L44</f>
        <v>0</v>
      </c>
      <c r="O69" s="480">
        <f>IF(J6="P",-ROUND(L47/3*1,1),0)+L47+L45</f>
        <v>0</v>
      </c>
      <c r="P69" s="480">
        <f>IF(J6="P",ROUND(L47/3*1,1),0)+L48</f>
        <v>0</v>
      </c>
      <c r="Q69" s="480">
        <f>+L49</f>
        <v>0</v>
      </c>
      <c r="R69" s="480">
        <f>+L51</f>
        <v>0</v>
      </c>
      <c r="S69" s="480">
        <f>+L46+L50+L53+L54</f>
        <v>0</v>
      </c>
      <c r="T69" s="480">
        <f>+L52</f>
        <v>0</v>
      </c>
      <c r="U69" s="480"/>
    </row>
    <row r="70" spans="1:22" ht="20.25" customHeight="1" x14ac:dyDescent="0.25">
      <c r="A70" s="566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77" t="s">
        <v>390</v>
      </c>
      <c r="P70" s="178"/>
      <c r="Q70" s="178"/>
      <c r="R70" s="178"/>
      <c r="S70" s="178"/>
      <c r="T70" s="178"/>
    </row>
    <row r="71" spans="1:22" ht="15" customHeight="1" x14ac:dyDescent="0.25">
      <c r="A71" s="566"/>
      <c r="B71" s="2"/>
      <c r="C71" s="26" t="s">
        <v>36</v>
      </c>
      <c r="D71" s="606"/>
      <c r="E71" s="606"/>
      <c r="F71" s="606"/>
      <c r="G71" s="606"/>
      <c r="H71" s="606"/>
      <c r="I71" s="3" t="s">
        <v>37</v>
      </c>
      <c r="J71" s="1"/>
      <c r="P71" s="178"/>
      <c r="Q71" s="178"/>
      <c r="R71" s="178"/>
      <c r="S71" s="178"/>
      <c r="T71" s="178"/>
    </row>
    <row r="72" spans="1:22" ht="15" customHeight="1" x14ac:dyDescent="0.25">
      <c r="C72" s="2"/>
      <c r="D72" s="2"/>
      <c r="E72" s="2"/>
      <c r="F72" s="2"/>
      <c r="G72" s="2"/>
      <c r="H72" s="2"/>
      <c r="I72" s="2"/>
      <c r="J72" s="2"/>
      <c r="K72" s="2"/>
      <c r="L72" s="2"/>
      <c r="P72" s="178"/>
      <c r="Q72" s="178"/>
      <c r="R72" s="178"/>
      <c r="S72" s="178"/>
      <c r="T72" s="178"/>
    </row>
  </sheetData>
  <sheetProtection password="C3D7" sheet="1"/>
  <mergeCells count="80">
    <mergeCell ref="F32:K32"/>
    <mergeCell ref="F33:K33"/>
    <mergeCell ref="F34:K34"/>
    <mergeCell ref="F35:K35"/>
    <mergeCell ref="F38:K38"/>
    <mergeCell ref="F36:K36"/>
    <mergeCell ref="F37:K37"/>
    <mergeCell ref="D42:L42"/>
    <mergeCell ref="D48:K48"/>
    <mergeCell ref="D71:H71"/>
    <mergeCell ref="C55:K55"/>
    <mergeCell ref="C64:H64"/>
    <mergeCell ref="C67:K67"/>
    <mergeCell ref="C60:H60"/>
    <mergeCell ref="C65:H65"/>
    <mergeCell ref="C61:H61"/>
    <mergeCell ref="G15:K15"/>
    <mergeCell ref="C16:L16"/>
    <mergeCell ref="C18:E18"/>
    <mergeCell ref="F18:K18"/>
    <mergeCell ref="C21:E21"/>
    <mergeCell ref="F19:K19"/>
    <mergeCell ref="C19:E19"/>
    <mergeCell ref="C20:E20"/>
    <mergeCell ref="F20:K20"/>
    <mergeCell ref="K4:L9"/>
    <mergeCell ref="C5:J5"/>
    <mergeCell ref="C14:I14"/>
    <mergeCell ref="D4:G4"/>
    <mergeCell ref="D6:G6"/>
    <mergeCell ref="H4:I4"/>
    <mergeCell ref="H6:I6"/>
    <mergeCell ref="C7:I7"/>
    <mergeCell ref="D8:F8"/>
    <mergeCell ref="C22:E22"/>
    <mergeCell ref="F24:K24"/>
    <mergeCell ref="F23:K23"/>
    <mergeCell ref="F22:K22"/>
    <mergeCell ref="F31:K31"/>
    <mergeCell ref="F25:K25"/>
    <mergeCell ref="F30:K30"/>
    <mergeCell ref="C23:E23"/>
    <mergeCell ref="C24:E24"/>
    <mergeCell ref="C25:E25"/>
    <mergeCell ref="C26:E26"/>
    <mergeCell ref="C27:E27"/>
    <mergeCell ref="F28:K28"/>
    <mergeCell ref="F29:K29"/>
    <mergeCell ref="A1:A71"/>
    <mergeCell ref="C1:L1"/>
    <mergeCell ref="C3:L3"/>
    <mergeCell ref="C10:L10"/>
    <mergeCell ref="C11:L11"/>
    <mergeCell ref="C12:I12"/>
    <mergeCell ref="C17:L17"/>
    <mergeCell ref="D45:K45"/>
    <mergeCell ref="C13:L13"/>
    <mergeCell ref="F26:K26"/>
    <mergeCell ref="F27:K27"/>
    <mergeCell ref="D43:K43"/>
    <mergeCell ref="C40:L40"/>
    <mergeCell ref="C59:H59"/>
    <mergeCell ref="C58:H58"/>
    <mergeCell ref="F21:K21"/>
    <mergeCell ref="F39:K39"/>
    <mergeCell ref="J58:L65"/>
    <mergeCell ref="J66:K66"/>
    <mergeCell ref="C66:I66"/>
    <mergeCell ref="D52:K52"/>
    <mergeCell ref="D54:I54"/>
    <mergeCell ref="C56:L56"/>
    <mergeCell ref="C41:L41"/>
    <mergeCell ref="C57:L57"/>
    <mergeCell ref="D53:K53"/>
    <mergeCell ref="D49:K49"/>
    <mergeCell ref="D51:K51"/>
    <mergeCell ref="D46:K46"/>
    <mergeCell ref="D50:K50"/>
    <mergeCell ref="D44:K44"/>
    <mergeCell ref="D47:K47"/>
  </mergeCells>
  <phoneticPr fontId="0" type="noConversion"/>
  <conditionalFormatting sqref="C19">
    <cfRule type="cellIs" dxfId="47" priority="15" operator="equal">
      <formula>"Hauptleitung"</formula>
    </cfRule>
  </conditionalFormatting>
  <conditionalFormatting sqref="C20">
    <cfRule type="cellIs" dxfId="46" priority="9" operator="equal">
      <formula>"Küchenchef"</formula>
    </cfRule>
  </conditionalFormatting>
  <conditionalFormatting sqref="C21:C39">
    <cfRule type="cellIs" dxfId="45" priority="5" operator="equal">
      <formula>"MitleiterIn"</formula>
    </cfRule>
  </conditionalFormatting>
  <conditionalFormatting sqref="C20:L20">
    <cfRule type="expression" dxfId="43" priority="7">
      <formula>IF($C$20="Kein Küchenchef",1,0)</formula>
    </cfRule>
    <cfRule type="expression" dxfId="42" priority="8">
      <formula>IF($J$6="P",1,0)</formula>
    </cfRule>
  </conditionalFormatting>
  <conditionalFormatting sqref="I2 K2">
    <cfRule type="cellIs" dxfId="41" priority="18" stopIfTrue="1" operator="equal">
      <formula>"tt.mm.jj"</formula>
    </cfRule>
  </conditionalFormatting>
  <conditionalFormatting sqref="L48">
    <cfRule type="cellIs" dxfId="40" priority="4" operator="equal">
      <formula>0</formula>
    </cfRule>
  </conditionalFormatting>
  <conditionalFormatting sqref="N19">
    <cfRule type="expression" dxfId="39" priority="19" stopIfTrue="1">
      <formula>IF(C19="","Hauptleitung",)</formula>
    </cfRule>
  </conditionalFormatting>
  <dataValidations disablePrompts="1" count="3">
    <dataValidation type="list" allowBlank="1" showInputMessage="1" showErrorMessage="1" sqref="J8" xr:uid="{00000000-0002-0000-0500-000000000000}">
      <formula1>$N$6:$N$10</formula1>
    </dataValidation>
    <dataValidation type="list" allowBlank="1" showInputMessage="1" showErrorMessage="1" sqref="J6" xr:uid="{00000000-0002-0000-0500-000001000000}">
      <formula1>$O$6:$O$10</formula1>
    </dataValidation>
    <dataValidation type="list" allowBlank="1" showInputMessage="1" showErrorMessage="1" sqref="L19:L39" xr:uid="{00000000-0002-0000-0500-000002000000}">
      <formula1>$P$5:$P$7</formula1>
    </dataValidation>
  </dataValidations>
  <pageMargins left="0.59055118110236227" right="0.19685039370078741" top="0.39370078740157483" bottom="0.31496062992125984" header="0.35433070866141736" footer="0.15748031496062992"/>
  <pageSetup paperSize="9" scale="83" orientation="portrait" r:id="rId1"/>
  <headerFooter alignWithMargins="0">
    <oddHeader>&amp;R&amp;G</oddHeader>
    <oddFooter>&amp;L&amp;8 2013 V. 1.0 (01.09.12)&amp;R&amp;8gedruckt: &amp;D; &amp;T</oddFooter>
  </headerFooter>
  <ignoredErrors>
    <ignoredError sqref="I2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C1287270-5859-4A00-BE40-8266646274C8}">
            <xm:f>IF(Datenstammblatt!$E$1="SH-Camp o. DL",1,0)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A1:B1 M1 A2:M71</xm:sqref>
        </x14:conditionalFormatting>
        <x14:conditionalFormatting xmlns:xm="http://schemas.microsoft.com/office/excel/2006/main">
          <x14:cfRule type="expression" priority="1" id="{77FC8824-9401-4567-93B5-CA94EB949370}">
            <xm:f>IF(Datenstammblatt!$E$1&lt;&gt;"SH-Camp o. DL",1,0)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C1</xm:sqref>
        </x14:conditionalFormatting>
        <x14:conditionalFormatting xmlns:xm="http://schemas.microsoft.com/office/excel/2006/main">
          <x14:cfRule type="expression" priority="2" id="{9DD84C7A-C486-4BC7-B111-8CBFFD1FD2A7}">
            <xm:f>IF(Datenstammblatt!$E$1&lt;&gt;"SH-Camp o. DL",1,0)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C1:L1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5">
    <tabColor indexed="43"/>
    <pageSetUpPr fitToPage="1"/>
  </sheetPr>
  <dimension ref="A1:AB80"/>
  <sheetViews>
    <sheetView zoomScale="85" zoomScaleNormal="85" workbookViewId="0">
      <selection activeCell="B1" sqref="B1:K1"/>
    </sheetView>
  </sheetViews>
  <sheetFormatPr baseColWidth="10" defaultColWidth="10.6640625" defaultRowHeight="13.2" x14ac:dyDescent="0.25"/>
  <cols>
    <col min="1" max="1" width="2.33203125" style="287" customWidth="1"/>
    <col min="2" max="2" width="13.6640625" style="287" customWidth="1"/>
    <col min="3" max="3" width="6.44140625" style="287" customWidth="1"/>
    <col min="4" max="4" width="9.33203125" style="287" customWidth="1"/>
    <col min="5" max="5" width="8.6640625" style="287" customWidth="1"/>
    <col min="6" max="6" width="3.44140625" style="287" customWidth="1"/>
    <col min="7" max="7" width="5.6640625" style="287" customWidth="1"/>
    <col min="8" max="8" width="19.6640625" style="287" customWidth="1"/>
    <col min="9" max="9" width="5.6640625" style="287" customWidth="1"/>
    <col min="10" max="10" width="15" style="287" customWidth="1"/>
    <col min="11" max="11" width="14.5546875" style="287" customWidth="1"/>
    <col min="12" max="12" width="5.6640625" style="366" customWidth="1"/>
    <col min="13" max="13" width="6" style="367" customWidth="1"/>
    <col min="14" max="18" width="11.44140625" style="367" customWidth="1"/>
    <col min="19" max="21" width="10.6640625" style="367"/>
    <col min="22" max="24" width="10.6640625" style="366"/>
    <col min="25" max="16384" width="10.6640625" style="287"/>
  </cols>
  <sheetData>
    <row r="1" spans="2:16" x14ac:dyDescent="0.25">
      <c r="B1" s="567" t="str">
        <f>IF(LagerTyp&lt;&gt;"SH-Camp o. DL"," Diese Seite wird nur für SH-Camp ohne Dienstleisungspaket verwenden","")</f>
        <v xml:space="preserve"> Diese Seite wird nur für SH-Camp ohne Dienstleisungspaket verwenden</v>
      </c>
      <c r="C1" s="567"/>
      <c r="D1" s="567"/>
      <c r="E1" s="567"/>
      <c r="F1" s="567"/>
      <c r="G1" s="567"/>
      <c r="H1" s="567"/>
      <c r="I1" s="567"/>
      <c r="J1" s="567"/>
      <c r="K1" s="567"/>
      <c r="N1" s="367" t="s">
        <v>383</v>
      </c>
    </row>
    <row r="2" spans="2:16" ht="22.5" customHeight="1" x14ac:dyDescent="0.4">
      <c r="B2" s="434" t="s">
        <v>138</v>
      </c>
      <c r="C2" s="433"/>
      <c r="D2" s="433"/>
      <c r="E2" s="435"/>
      <c r="F2" s="436" t="s">
        <v>429</v>
      </c>
      <c r="G2" s="289" t="s">
        <v>23</v>
      </c>
      <c r="H2" s="432" t="str">
        <f>Datenstammblatt!E3</f>
        <v>TT.MM.JJ</v>
      </c>
      <c r="I2" s="289" t="s">
        <v>41</v>
      </c>
      <c r="J2" s="432" t="str">
        <f>Datenstammblatt!G3</f>
        <v>TT.MM.JJ</v>
      </c>
      <c r="K2" s="431">
        <f>Datenstammblatt!G1</f>
        <v>2024</v>
      </c>
    </row>
    <row r="3" spans="2:16" x14ac:dyDescent="0.25">
      <c r="B3" s="430"/>
      <c r="C3" s="430"/>
      <c r="D3" s="430"/>
      <c r="E3" s="430"/>
      <c r="F3" s="430"/>
      <c r="G3" s="430"/>
      <c r="H3" s="430"/>
      <c r="I3" s="430"/>
      <c r="J3" s="430"/>
      <c r="K3" s="429" t="s">
        <v>3177</v>
      </c>
    </row>
    <row r="4" spans="2:16" ht="15" x14ac:dyDescent="0.25">
      <c r="B4" s="428" t="s">
        <v>33</v>
      </c>
      <c r="C4" s="656" t="str">
        <f>IF(H2="tt.mm.jj","",Datenstammblatt!D10&amp;" "&amp;Datenstammblatt!F10)</f>
        <v/>
      </c>
      <c r="D4" s="657"/>
      <c r="E4" s="657"/>
      <c r="F4" s="658"/>
      <c r="G4" s="659" t="s">
        <v>24</v>
      </c>
      <c r="H4" s="660"/>
      <c r="I4" s="427">
        <f>IF(H2="tt.mm.jj",0,(DAYS360(H2,J2))+1)</f>
        <v>0</v>
      </c>
      <c r="J4" s="646"/>
      <c r="K4" s="647"/>
      <c r="N4" s="367" t="s">
        <v>380</v>
      </c>
      <c r="O4" s="367" t="s">
        <v>381</v>
      </c>
    </row>
    <row r="5" spans="2:16" ht="6" customHeight="1" x14ac:dyDescent="0.25">
      <c r="B5" s="663"/>
      <c r="C5" s="664"/>
      <c r="D5" s="664"/>
      <c r="E5" s="664"/>
      <c r="F5" s="664"/>
      <c r="G5" s="664"/>
      <c r="H5" s="664"/>
      <c r="I5" s="664"/>
      <c r="J5" s="567"/>
      <c r="K5" s="648"/>
      <c r="P5" s="367" t="s">
        <v>382</v>
      </c>
    </row>
    <row r="6" spans="2:16" ht="15" x14ac:dyDescent="0.25">
      <c r="B6" s="425" t="s">
        <v>428</v>
      </c>
      <c r="C6" s="619" t="str">
        <f>IF(H2="tt.mm.jj","",Datenstammblatt!E4)</f>
        <v/>
      </c>
      <c r="D6" s="620"/>
      <c r="E6" s="620"/>
      <c r="F6" s="621"/>
      <c r="G6" s="661" t="s">
        <v>27</v>
      </c>
      <c r="H6" s="662"/>
      <c r="I6" s="298"/>
      <c r="J6" s="567"/>
      <c r="K6" s="648"/>
      <c r="N6" s="367" t="s">
        <v>38</v>
      </c>
      <c r="O6" s="367" t="s">
        <v>91</v>
      </c>
      <c r="P6" s="367" t="s">
        <v>427</v>
      </c>
    </row>
    <row r="7" spans="2:16" ht="9.75" customHeight="1" x14ac:dyDescent="0.25">
      <c r="B7" s="636" t="s">
        <v>34</v>
      </c>
      <c r="C7" s="637"/>
      <c r="D7" s="637"/>
      <c r="E7" s="637"/>
      <c r="F7" s="637"/>
      <c r="G7" s="637"/>
      <c r="H7" s="637"/>
      <c r="I7" s="426"/>
      <c r="J7" s="567"/>
      <c r="K7" s="648"/>
      <c r="N7" s="367" t="s">
        <v>40</v>
      </c>
      <c r="O7" s="367" t="s">
        <v>92</v>
      </c>
      <c r="P7" s="367" t="s">
        <v>426</v>
      </c>
    </row>
    <row r="8" spans="2:16" ht="15" customHeight="1" x14ac:dyDescent="0.25">
      <c r="B8" s="425" t="s">
        <v>425</v>
      </c>
      <c r="C8" s="619" t="str">
        <f>IF(H4="tt.mm.jj","",Datenstammblatt!D8)</f>
        <v>Vorname</v>
      </c>
      <c r="D8" s="620"/>
      <c r="E8" s="620"/>
      <c r="F8" s="621"/>
      <c r="G8" s="424"/>
      <c r="H8" s="423" t="s">
        <v>424</v>
      </c>
      <c r="I8" s="298"/>
      <c r="J8" s="567"/>
      <c r="K8" s="648"/>
      <c r="P8" s="367" t="s">
        <v>111</v>
      </c>
    </row>
    <row r="9" spans="2:16" ht="15" customHeight="1" x14ac:dyDescent="0.25">
      <c r="B9" s="651" t="s">
        <v>423</v>
      </c>
      <c r="C9" s="652"/>
      <c r="D9" s="652"/>
      <c r="E9" s="652"/>
      <c r="F9" s="652"/>
      <c r="G9" s="652"/>
      <c r="H9" s="653"/>
      <c r="I9" s="298"/>
      <c r="J9" s="649"/>
      <c r="K9" s="650"/>
      <c r="L9" s="369" t="str">
        <f>IF(COUNTIF(K19:K39,"J")-I9=0,"","Anzahl J&amp;S Leiter kontrolliere")</f>
        <v/>
      </c>
    </row>
    <row r="10" spans="2:16" ht="9.75" customHeight="1" x14ac:dyDescent="0.25">
      <c r="B10" s="631"/>
      <c r="C10" s="631"/>
      <c r="D10" s="631"/>
      <c r="E10" s="631"/>
      <c r="F10" s="631"/>
      <c r="G10" s="631"/>
      <c r="H10" s="631"/>
      <c r="I10" s="631"/>
      <c r="J10" s="631"/>
      <c r="K10" s="631"/>
      <c r="M10" s="367" t="s">
        <v>111</v>
      </c>
      <c r="N10" s="367" t="s">
        <v>111</v>
      </c>
    </row>
    <row r="11" spans="2:16" ht="15" customHeight="1" x14ac:dyDescent="0.25">
      <c r="B11" s="632" t="s">
        <v>25</v>
      </c>
      <c r="C11" s="633"/>
      <c r="D11" s="633"/>
      <c r="E11" s="633"/>
      <c r="F11" s="633"/>
      <c r="G11" s="633"/>
      <c r="H11" s="633"/>
      <c r="I11" s="633"/>
      <c r="J11" s="633"/>
      <c r="K11" s="634"/>
    </row>
    <row r="12" spans="2:16" ht="15.75" customHeight="1" x14ac:dyDescent="0.25">
      <c r="B12" s="422" t="s">
        <v>422</v>
      </c>
      <c r="C12" s="421"/>
      <c r="D12" s="421"/>
      <c r="E12" s="421"/>
      <c r="F12" s="421"/>
      <c r="G12" s="421"/>
      <c r="H12" s="420" t="s">
        <v>45</v>
      </c>
      <c r="I12" s="409"/>
      <c r="J12" s="417" t="s">
        <v>94</v>
      </c>
      <c r="K12" s="299">
        <f>IF(OR(I12=0,I6=0),0,IF(I6="P",O14,O14+O15))</f>
        <v>0</v>
      </c>
      <c r="L12" s="419" t="str">
        <f>IF(I6="S","davon Küche","")</f>
        <v/>
      </c>
    </row>
    <row r="13" spans="2:16" ht="3" customHeight="1" x14ac:dyDescent="0.25">
      <c r="B13" s="635">
        <v>28</v>
      </c>
      <c r="C13" s="631"/>
      <c r="D13" s="631"/>
      <c r="E13" s="631"/>
      <c r="F13" s="631"/>
      <c r="G13" s="631"/>
      <c r="H13" s="631"/>
      <c r="I13" s="631"/>
      <c r="J13" s="631"/>
      <c r="K13" s="631"/>
    </row>
    <row r="14" spans="2:16" x14ac:dyDescent="0.25">
      <c r="B14" s="654" t="str">
        <f>Datenstammblatt!D4</f>
        <v>CHF</v>
      </c>
      <c r="C14" s="655"/>
      <c r="H14" s="418" t="s">
        <v>48</v>
      </c>
      <c r="I14" s="409"/>
      <c r="J14" s="417" t="s">
        <v>93</v>
      </c>
      <c r="K14" s="409"/>
      <c r="L14" s="366" t="str">
        <f>IF(I6="S",O15,"")</f>
        <v/>
      </c>
      <c r="N14" s="481" t="s">
        <v>19</v>
      </c>
      <c r="O14" s="367">
        <f>VLOOKUP(I12,Datenstammblatt!O3:S15,2,1)</f>
        <v>0</v>
      </c>
    </row>
    <row r="15" spans="2:16" ht="15" customHeight="1" x14ac:dyDescent="0.25">
      <c r="B15" s="416"/>
      <c r="C15" s="307"/>
      <c r="D15" s="307"/>
      <c r="E15" s="307"/>
      <c r="F15" s="307"/>
      <c r="G15" s="307"/>
      <c r="H15" s="415" t="s">
        <v>46</v>
      </c>
      <c r="I15" s="409"/>
      <c r="J15" s="414" t="s">
        <v>421</v>
      </c>
      <c r="K15" s="409"/>
      <c r="N15" s="481" t="s">
        <v>20</v>
      </c>
      <c r="O15" s="367">
        <f>IF(I6="S",IF(I12&gt;41,3,IF(I12&gt;23,2,IF(I12&lt;19,0,1))),0)</f>
        <v>0</v>
      </c>
    </row>
    <row r="16" spans="2:16" ht="9" customHeight="1" x14ac:dyDescent="0.25">
      <c r="B16" s="631"/>
      <c r="C16" s="631"/>
      <c r="D16" s="631"/>
      <c r="E16" s="631"/>
      <c r="F16" s="631"/>
      <c r="G16" s="631"/>
      <c r="H16" s="631"/>
      <c r="I16" s="631"/>
      <c r="J16" s="631"/>
      <c r="K16" s="631"/>
    </row>
    <row r="17" spans="2:19" ht="15" customHeight="1" x14ac:dyDescent="0.25">
      <c r="B17" s="632" t="s">
        <v>184</v>
      </c>
      <c r="C17" s="633"/>
      <c r="D17" s="633"/>
      <c r="E17" s="633"/>
      <c r="F17" s="633"/>
      <c r="G17" s="633"/>
      <c r="H17" s="633"/>
      <c r="I17" s="633"/>
      <c r="J17" s="633"/>
      <c r="K17" s="634"/>
      <c r="M17" s="367" t="s">
        <v>111</v>
      </c>
      <c r="O17" s="482"/>
      <c r="P17" s="482"/>
      <c r="Q17" s="482"/>
      <c r="R17" s="482"/>
      <c r="S17" s="482"/>
    </row>
    <row r="18" spans="2:19" x14ac:dyDescent="0.25">
      <c r="B18" s="644" t="s">
        <v>26</v>
      </c>
      <c r="C18" s="645"/>
      <c r="D18" s="645"/>
      <c r="E18" s="644" t="s">
        <v>420</v>
      </c>
      <c r="F18" s="645"/>
      <c r="G18" s="645"/>
      <c r="H18" s="645"/>
      <c r="I18" s="645"/>
      <c r="J18" s="645"/>
      <c r="K18" s="413" t="s">
        <v>419</v>
      </c>
      <c r="O18" s="482"/>
      <c r="P18" s="482"/>
      <c r="Q18" s="482"/>
      <c r="R18" s="482"/>
      <c r="S18" s="482"/>
    </row>
    <row r="19" spans="2:19" ht="15" x14ac:dyDescent="0.25">
      <c r="B19" s="638" t="str">
        <f>Datenstammblatt!C30</f>
        <v>Hauptleitung</v>
      </c>
      <c r="C19" s="639"/>
      <c r="D19" s="640"/>
      <c r="E19" s="622" t="str">
        <f>IF(Datenstammblatt!F30="","",Datenstammblatt!F30)</f>
        <v/>
      </c>
      <c r="F19" s="622"/>
      <c r="G19" s="622"/>
      <c r="H19" s="622" t="e">
        <v>#REF!</v>
      </c>
      <c r="I19" s="622"/>
      <c r="J19" s="623"/>
      <c r="K19" s="409" t="str">
        <f>IF('Unterschriftsblatt 2.9'!C10="","",'Unterschriftsblatt 2.9'!C10)</f>
        <v xml:space="preserve"> </v>
      </c>
      <c r="M19" s="367" t="s">
        <v>111</v>
      </c>
      <c r="O19" s="482"/>
      <c r="P19" s="482"/>
      <c r="Q19" s="482"/>
      <c r="R19" s="482"/>
      <c r="S19" s="482"/>
    </row>
    <row r="20" spans="2:19" ht="15" x14ac:dyDescent="0.25">
      <c r="B20" s="638" t="str">
        <f>IF(I6="P","Kein Küchenchef",Datenstammblatt!C31)</f>
        <v>Küchenchef</v>
      </c>
      <c r="C20" s="639"/>
      <c r="D20" s="640"/>
      <c r="E20" s="622" t="str">
        <f>IF(Datenstammblatt!F31="","",Datenstammblatt!F31)</f>
        <v/>
      </c>
      <c r="F20" s="622"/>
      <c r="G20" s="622"/>
      <c r="H20" s="622" t="e">
        <v>#REF!</v>
      </c>
      <c r="I20" s="622"/>
      <c r="J20" s="623"/>
      <c r="K20" s="409" t="str">
        <f>IF('Unterschriftsblatt 2.9'!C11="","",'Unterschriftsblatt 2.9'!C11)</f>
        <v xml:space="preserve"> </v>
      </c>
      <c r="O20" s="482"/>
      <c r="P20" s="482"/>
      <c r="Q20" s="482"/>
      <c r="R20" s="482"/>
      <c r="S20" s="482"/>
    </row>
    <row r="21" spans="2:19" ht="15" x14ac:dyDescent="0.25">
      <c r="B21" s="641" t="str">
        <f>Datenstammblatt!C32</f>
        <v>MitleiterIn</v>
      </c>
      <c r="C21" s="642"/>
      <c r="D21" s="643"/>
      <c r="E21" s="622" t="str">
        <f>IF(Datenstammblatt!F32="","",Datenstammblatt!F32)</f>
        <v/>
      </c>
      <c r="F21" s="622"/>
      <c r="G21" s="622"/>
      <c r="H21" s="622" t="e">
        <v>#REF!</v>
      </c>
      <c r="I21" s="622"/>
      <c r="J21" s="623"/>
      <c r="K21" s="409" t="str">
        <f>IF('Unterschriftsblatt 2.9'!C12="","",'Unterschriftsblatt 2.9'!C12)</f>
        <v xml:space="preserve"> </v>
      </c>
      <c r="O21" s="482"/>
      <c r="P21" s="482"/>
      <c r="Q21" s="482"/>
      <c r="R21" s="482"/>
      <c r="S21" s="482"/>
    </row>
    <row r="22" spans="2:19" ht="15" x14ac:dyDescent="0.25">
      <c r="B22" s="638" t="str">
        <f>Datenstammblatt!C33</f>
        <v>MitleiterIn</v>
      </c>
      <c r="C22" s="639"/>
      <c r="D22" s="640"/>
      <c r="E22" s="622" t="str">
        <f>IF(Datenstammblatt!F33="","",Datenstammblatt!F33)</f>
        <v/>
      </c>
      <c r="F22" s="622"/>
      <c r="G22" s="622"/>
      <c r="H22" s="622" t="e">
        <v>#REF!</v>
      </c>
      <c r="I22" s="622"/>
      <c r="J22" s="623"/>
      <c r="K22" s="409" t="str">
        <f>IF('Unterschriftsblatt 2.9'!C13="","",'Unterschriftsblatt 2.9'!C13)</f>
        <v xml:space="preserve"> </v>
      </c>
      <c r="O22" s="482"/>
      <c r="P22" s="482"/>
      <c r="Q22" s="482"/>
      <c r="R22" s="482"/>
      <c r="S22" s="482"/>
    </row>
    <row r="23" spans="2:19" ht="15" x14ac:dyDescent="0.25">
      <c r="B23" s="638" t="str">
        <f>Datenstammblatt!C34</f>
        <v>MitleiterIn</v>
      </c>
      <c r="C23" s="639"/>
      <c r="D23" s="640"/>
      <c r="E23" s="622" t="str">
        <f>IF(Datenstammblatt!F34="","",Datenstammblatt!F34)</f>
        <v/>
      </c>
      <c r="F23" s="622"/>
      <c r="G23" s="622"/>
      <c r="H23" s="622" t="e">
        <v>#REF!</v>
      </c>
      <c r="I23" s="622"/>
      <c r="J23" s="623"/>
      <c r="K23" s="409" t="str">
        <f>IF('Unterschriftsblatt 2.9'!C14="","",'Unterschriftsblatt 2.9'!C14)</f>
        <v xml:space="preserve"> </v>
      </c>
      <c r="O23" s="482"/>
      <c r="P23" s="482"/>
      <c r="Q23" s="482"/>
      <c r="R23" s="482"/>
      <c r="S23" s="482"/>
    </row>
    <row r="24" spans="2:19" ht="15" x14ac:dyDescent="0.25">
      <c r="B24" s="638" t="str">
        <f>Datenstammblatt!C35</f>
        <v>MitleiterIn</v>
      </c>
      <c r="C24" s="639"/>
      <c r="D24" s="640"/>
      <c r="E24" s="622" t="str">
        <f>IF(Datenstammblatt!F35="","",Datenstammblatt!F35)</f>
        <v/>
      </c>
      <c r="F24" s="622"/>
      <c r="G24" s="622"/>
      <c r="H24" s="622" t="e">
        <v>#REF!</v>
      </c>
      <c r="I24" s="622"/>
      <c r="J24" s="623"/>
      <c r="K24" s="409" t="str">
        <f>IF('Unterschriftsblatt 2.9'!C15="","",'Unterschriftsblatt 2.9'!C15)</f>
        <v xml:space="preserve"> </v>
      </c>
      <c r="O24" s="483"/>
      <c r="P24" s="483"/>
      <c r="Q24" s="483"/>
      <c r="R24" s="483"/>
      <c r="S24" s="483"/>
    </row>
    <row r="25" spans="2:19" ht="15" x14ac:dyDescent="0.25">
      <c r="B25" s="412" t="str">
        <f>Datenstammblatt!C36</f>
        <v>MitleiterIn</v>
      </c>
      <c r="C25" s="411"/>
      <c r="D25" s="410"/>
      <c r="E25" s="622" t="str">
        <f>IF(Datenstammblatt!F36="","",Datenstammblatt!F36)</f>
        <v/>
      </c>
      <c r="F25" s="622"/>
      <c r="G25" s="622"/>
      <c r="H25" s="622" t="e">
        <v>#REF!</v>
      </c>
      <c r="I25" s="622"/>
      <c r="J25" s="623"/>
      <c r="K25" s="409" t="str">
        <f>IF('Unterschriftsblatt 2.9'!C16="","",'Unterschriftsblatt 2.9'!C16)</f>
        <v xml:space="preserve"> </v>
      </c>
      <c r="O25" s="482"/>
      <c r="P25" s="482"/>
      <c r="Q25" s="482"/>
      <c r="R25" s="482"/>
      <c r="S25" s="482"/>
    </row>
    <row r="26" spans="2:19" ht="15" x14ac:dyDescent="0.25">
      <c r="B26" s="412" t="str">
        <f>Datenstammblatt!C37</f>
        <v>MitleiterIn</v>
      </c>
      <c r="C26" s="411"/>
      <c r="D26" s="410"/>
      <c r="E26" s="622" t="str">
        <f>IF(Datenstammblatt!F37="","",Datenstammblatt!F37)</f>
        <v/>
      </c>
      <c r="F26" s="622"/>
      <c r="G26" s="622"/>
      <c r="H26" s="622" t="e">
        <v>#REF!</v>
      </c>
      <c r="I26" s="622"/>
      <c r="J26" s="623"/>
      <c r="K26" s="409" t="str">
        <f>IF('Unterschriftsblatt 2.9'!C17="","",'Unterschriftsblatt 2.9'!C17)</f>
        <v xml:space="preserve"> </v>
      </c>
      <c r="O26" s="482"/>
      <c r="P26" s="482"/>
      <c r="Q26" s="482"/>
      <c r="R26" s="482"/>
      <c r="S26" s="482"/>
    </row>
    <row r="27" spans="2:19" ht="15" x14ac:dyDescent="0.25">
      <c r="B27" s="412" t="str">
        <f>Datenstammblatt!C38</f>
        <v>MitleiterIn</v>
      </c>
      <c r="C27" s="411"/>
      <c r="D27" s="410"/>
      <c r="E27" s="622" t="str">
        <f>IF(Datenstammblatt!F38="","",Datenstammblatt!F38)</f>
        <v/>
      </c>
      <c r="F27" s="622"/>
      <c r="G27" s="622"/>
      <c r="H27" s="622" t="e">
        <v>#REF!</v>
      </c>
      <c r="I27" s="622"/>
      <c r="J27" s="623"/>
      <c r="K27" s="409" t="str">
        <f>IF('Unterschriftsblatt 2.9'!C18="","",'Unterschriftsblatt 2.9'!C18)</f>
        <v xml:space="preserve"> </v>
      </c>
      <c r="O27" s="482"/>
      <c r="P27" s="482"/>
      <c r="Q27" s="482"/>
      <c r="R27" s="482"/>
      <c r="S27" s="482"/>
    </row>
    <row r="28" spans="2:19" ht="15" x14ac:dyDescent="0.25">
      <c r="B28" s="412" t="str">
        <f>Datenstammblatt!C39</f>
        <v>MitleiterIn</v>
      </c>
      <c r="C28" s="411"/>
      <c r="D28" s="410"/>
      <c r="E28" s="622" t="str">
        <f>IF(Datenstammblatt!F39="","",Datenstammblatt!F39)</f>
        <v/>
      </c>
      <c r="F28" s="622"/>
      <c r="G28" s="622"/>
      <c r="H28" s="622" t="e">
        <v>#REF!</v>
      </c>
      <c r="I28" s="622"/>
      <c r="J28" s="623"/>
      <c r="K28" s="409" t="str">
        <f>IF('Unterschriftsblatt 2.9'!C19="","",'Unterschriftsblatt 2.9'!C19)</f>
        <v xml:space="preserve"> </v>
      </c>
      <c r="O28" s="482"/>
      <c r="P28" s="482"/>
      <c r="Q28" s="482"/>
      <c r="R28" s="482"/>
      <c r="S28" s="482"/>
    </row>
    <row r="29" spans="2:19" ht="15" x14ac:dyDescent="0.25">
      <c r="B29" s="412" t="str">
        <f>Datenstammblatt!C40</f>
        <v>MitleiterIn</v>
      </c>
      <c r="C29" s="411"/>
      <c r="D29" s="410"/>
      <c r="E29" s="622" t="str">
        <f>IF(Datenstammblatt!F40="","",Datenstammblatt!F40)</f>
        <v/>
      </c>
      <c r="F29" s="622"/>
      <c r="G29" s="622"/>
      <c r="H29" s="622" t="e">
        <v>#REF!</v>
      </c>
      <c r="I29" s="622"/>
      <c r="J29" s="623"/>
      <c r="K29" s="409" t="str">
        <f>IF('Unterschriftsblatt 2.9'!C20="","",'Unterschriftsblatt 2.9'!C20)</f>
        <v xml:space="preserve"> </v>
      </c>
      <c r="O29" s="482"/>
      <c r="P29" s="482"/>
      <c r="Q29" s="482"/>
      <c r="R29" s="482"/>
      <c r="S29" s="482"/>
    </row>
    <row r="30" spans="2:19" ht="15" x14ac:dyDescent="0.25">
      <c r="B30" s="412" t="str">
        <f>Datenstammblatt!C41</f>
        <v>MitleiterIn</v>
      </c>
      <c r="C30" s="411"/>
      <c r="D30" s="410"/>
      <c r="E30" s="622" t="str">
        <f>IF(Datenstammblatt!F41="","",Datenstammblatt!F41)</f>
        <v/>
      </c>
      <c r="F30" s="622"/>
      <c r="G30" s="622"/>
      <c r="H30" s="622" t="e">
        <v>#REF!</v>
      </c>
      <c r="I30" s="622"/>
      <c r="J30" s="623"/>
      <c r="K30" s="409" t="str">
        <f>IF('Unterschriftsblatt 2.9'!C21="","",'Unterschriftsblatt 2.9'!C21)</f>
        <v xml:space="preserve"> </v>
      </c>
      <c r="O30" s="482"/>
      <c r="P30" s="482"/>
      <c r="Q30" s="482"/>
      <c r="R30" s="482"/>
      <c r="S30" s="482"/>
    </row>
    <row r="31" spans="2:19" ht="15" x14ac:dyDescent="0.25">
      <c r="B31" s="412" t="str">
        <f>Datenstammblatt!C42</f>
        <v>MitleiterIn</v>
      </c>
      <c r="C31" s="411"/>
      <c r="D31" s="410"/>
      <c r="E31" s="622" t="str">
        <f>IF(Datenstammblatt!F42="","",Datenstammblatt!F42)</f>
        <v/>
      </c>
      <c r="F31" s="622"/>
      <c r="G31" s="622"/>
      <c r="H31" s="622" t="e">
        <v>#REF!</v>
      </c>
      <c r="I31" s="622"/>
      <c r="J31" s="623"/>
      <c r="K31" s="409" t="str">
        <f>IF('Unterschriftsblatt 2.9'!C22="","",'Unterschriftsblatt 2.9'!C22)</f>
        <v xml:space="preserve"> </v>
      </c>
      <c r="O31" s="482"/>
      <c r="P31" s="482"/>
      <c r="Q31" s="482"/>
      <c r="R31" s="482"/>
      <c r="S31" s="482"/>
    </row>
    <row r="32" spans="2:19" ht="15" x14ac:dyDescent="0.25">
      <c r="B32" s="412" t="str">
        <f>Datenstammblatt!C43</f>
        <v>MitleiterIn</v>
      </c>
      <c r="C32" s="411"/>
      <c r="D32" s="410"/>
      <c r="E32" s="622" t="str">
        <f>IF(Datenstammblatt!F43="","",Datenstammblatt!F43)</f>
        <v/>
      </c>
      <c r="F32" s="622"/>
      <c r="G32" s="622"/>
      <c r="H32" s="622" t="e">
        <v>#REF!</v>
      </c>
      <c r="I32" s="622"/>
      <c r="J32" s="623"/>
      <c r="K32" s="409" t="str">
        <f>IF('Unterschriftsblatt 2.9'!C23="","",'Unterschriftsblatt 2.9'!C23)</f>
        <v xml:space="preserve"> </v>
      </c>
      <c r="Q32" s="482"/>
      <c r="R32" s="482"/>
      <c r="S32" s="482"/>
    </row>
    <row r="33" spans="2:19" ht="15" x14ac:dyDescent="0.25">
      <c r="B33" s="412" t="str">
        <f>Datenstammblatt!C44</f>
        <v>MitleiterIn</v>
      </c>
      <c r="C33" s="411"/>
      <c r="D33" s="410"/>
      <c r="E33" s="622" t="str">
        <f>IF(Datenstammblatt!F44="","",Datenstammblatt!F44)</f>
        <v/>
      </c>
      <c r="F33" s="622"/>
      <c r="G33" s="622"/>
      <c r="H33" s="622" t="e">
        <v>#REF!</v>
      </c>
      <c r="I33" s="622"/>
      <c r="J33" s="623"/>
      <c r="K33" s="409" t="str">
        <f>IF('Unterschriftsblatt 2.9'!C24="","",'Unterschriftsblatt 2.9'!C24)</f>
        <v xml:space="preserve"> </v>
      </c>
      <c r="Q33" s="482"/>
      <c r="R33" s="482"/>
      <c r="S33" s="482"/>
    </row>
    <row r="34" spans="2:19" ht="15" x14ac:dyDescent="0.25">
      <c r="B34" s="412" t="str">
        <f>Datenstammblatt!C45</f>
        <v>MitleiterIn</v>
      </c>
      <c r="C34" s="411"/>
      <c r="D34" s="410"/>
      <c r="E34" s="622" t="str">
        <f>IF(Datenstammblatt!F45="","",Datenstammblatt!F45)</f>
        <v/>
      </c>
      <c r="F34" s="622"/>
      <c r="G34" s="622"/>
      <c r="H34" s="622" t="e">
        <v>#REF!</v>
      </c>
      <c r="I34" s="622"/>
      <c r="J34" s="623"/>
      <c r="K34" s="409" t="str">
        <f>IF('Unterschriftsblatt 2.9'!C25="","",'Unterschriftsblatt 2.9'!C25)</f>
        <v xml:space="preserve"> </v>
      </c>
      <c r="Q34" s="482"/>
      <c r="R34" s="482"/>
      <c r="S34" s="482"/>
    </row>
    <row r="35" spans="2:19" ht="15" x14ac:dyDescent="0.25">
      <c r="B35" s="412" t="str">
        <f>Datenstammblatt!C46</f>
        <v>MitleiterIn</v>
      </c>
      <c r="C35" s="411"/>
      <c r="D35" s="410"/>
      <c r="E35" s="622" t="str">
        <f>IF(Datenstammblatt!F46="","",Datenstammblatt!F46)</f>
        <v/>
      </c>
      <c r="F35" s="622"/>
      <c r="G35" s="622"/>
      <c r="H35" s="622" t="e">
        <v>#REF!</v>
      </c>
      <c r="I35" s="622"/>
      <c r="J35" s="623"/>
      <c r="K35" s="409" t="str">
        <f>IF('Unterschriftsblatt 2.9'!C26="","",'Unterschriftsblatt 2.9'!C26)</f>
        <v xml:space="preserve"> </v>
      </c>
      <c r="Q35" s="482"/>
      <c r="R35" s="482"/>
      <c r="S35" s="482"/>
    </row>
    <row r="36" spans="2:19" ht="15" x14ac:dyDescent="0.25">
      <c r="B36" s="412" t="str">
        <f>Datenstammblatt!C47</f>
        <v>MitleiterIn</v>
      </c>
      <c r="C36" s="411"/>
      <c r="D36" s="410"/>
      <c r="E36" s="622" t="str">
        <f>IF(Datenstammblatt!F47="","",Datenstammblatt!F47)</f>
        <v/>
      </c>
      <c r="F36" s="622"/>
      <c r="G36" s="622"/>
      <c r="H36" s="622" t="e">
        <v>#REF!</v>
      </c>
      <c r="I36" s="622"/>
      <c r="J36" s="623"/>
      <c r="K36" s="409" t="str">
        <f>IF('Unterschriftsblatt 2.9'!C27="","",'Unterschriftsblatt 2.9'!C27)</f>
        <v xml:space="preserve"> </v>
      </c>
      <c r="Q36" s="482"/>
      <c r="R36" s="482"/>
      <c r="S36" s="482"/>
    </row>
    <row r="37" spans="2:19" ht="15" x14ac:dyDescent="0.25">
      <c r="B37" s="412" t="str">
        <f>Datenstammblatt!C48</f>
        <v>MitleiterIn</v>
      </c>
      <c r="C37" s="411"/>
      <c r="D37" s="410"/>
      <c r="E37" s="622" t="str">
        <f>IF(Datenstammblatt!F48="","",Datenstammblatt!F48)</f>
        <v/>
      </c>
      <c r="F37" s="622"/>
      <c r="G37" s="622"/>
      <c r="H37" s="622" t="e">
        <v>#REF!</v>
      </c>
      <c r="I37" s="622"/>
      <c r="J37" s="623"/>
      <c r="K37" s="409" t="str">
        <f>IF('Unterschriftsblatt 2.9'!C28="","",'Unterschriftsblatt 2.9'!C28)</f>
        <v xml:space="preserve"> </v>
      </c>
      <c r="Q37" s="482"/>
      <c r="R37" s="482"/>
      <c r="S37" s="482"/>
    </row>
    <row r="38" spans="2:19" ht="15" x14ac:dyDescent="0.25">
      <c r="B38" s="412" t="str">
        <f>Datenstammblatt!C49</f>
        <v>MitleiterIn</v>
      </c>
      <c r="C38" s="411"/>
      <c r="D38" s="410"/>
      <c r="E38" s="622" t="str">
        <f>IF(Datenstammblatt!F49="","",Datenstammblatt!F49)</f>
        <v/>
      </c>
      <c r="F38" s="622"/>
      <c r="G38" s="622"/>
      <c r="H38" s="622" t="e">
        <v>#REF!</v>
      </c>
      <c r="I38" s="622"/>
      <c r="J38" s="623"/>
      <c r="K38" s="409" t="str">
        <f>IF('Unterschriftsblatt 2.9'!C29="","",'Unterschriftsblatt 2.9'!C29)</f>
        <v xml:space="preserve"> </v>
      </c>
      <c r="Q38" s="482"/>
      <c r="R38" s="482"/>
      <c r="S38" s="482"/>
    </row>
    <row r="39" spans="2:19" ht="15" x14ac:dyDescent="0.25">
      <c r="B39" s="412" t="str">
        <f>Datenstammblatt!C50</f>
        <v>MitleiterIn</v>
      </c>
      <c r="C39" s="411"/>
      <c r="D39" s="410"/>
      <c r="E39" s="622" t="str">
        <f>IF(Datenstammblatt!F50="","",Datenstammblatt!F50)</f>
        <v/>
      </c>
      <c r="F39" s="622"/>
      <c r="G39" s="622"/>
      <c r="H39" s="622" t="e">
        <v>#REF!</v>
      </c>
      <c r="I39" s="622"/>
      <c r="J39" s="623"/>
      <c r="K39" s="409" t="str">
        <f>IF('Unterschriftsblatt 2.9'!C30="","",'Unterschriftsblatt 2.9'!C30)</f>
        <v xml:space="preserve"> </v>
      </c>
      <c r="N39" s="367" t="s">
        <v>141</v>
      </c>
      <c r="O39" s="367">
        <f>COUNTIF(K20:K39,"J")</f>
        <v>0</v>
      </c>
      <c r="P39" s="367" t="s">
        <v>384</v>
      </c>
      <c r="Q39" s="482"/>
      <c r="R39" s="482"/>
      <c r="S39" s="482"/>
    </row>
    <row r="40" spans="2:19" ht="7.5" customHeight="1" x14ac:dyDescent="0.25">
      <c r="B40" s="630"/>
      <c r="C40" s="630"/>
      <c r="D40" s="630"/>
      <c r="E40" s="630"/>
      <c r="F40" s="630"/>
      <c r="G40" s="630"/>
      <c r="H40" s="630"/>
      <c r="I40" s="630"/>
      <c r="J40" s="630"/>
      <c r="K40" s="630"/>
      <c r="O40" s="482"/>
      <c r="P40" s="482"/>
      <c r="Q40" s="482"/>
      <c r="R40" s="482"/>
      <c r="S40" s="482"/>
    </row>
    <row r="41" spans="2:19" ht="15" customHeight="1" x14ac:dyDescent="0.25">
      <c r="B41" s="392" t="s">
        <v>49</v>
      </c>
      <c r="C41" s="391" t="s">
        <v>29</v>
      </c>
      <c r="D41" s="389"/>
      <c r="E41" s="390"/>
      <c r="F41" s="390"/>
      <c r="G41" s="390"/>
      <c r="H41" s="390"/>
      <c r="I41" s="390"/>
      <c r="J41" s="390"/>
      <c r="K41" s="408" t="s">
        <v>0</v>
      </c>
      <c r="O41" s="482"/>
      <c r="P41" s="482"/>
      <c r="Q41" s="482"/>
      <c r="R41" s="482"/>
      <c r="S41" s="482"/>
    </row>
    <row r="42" spans="2:19" ht="15.75" customHeight="1" x14ac:dyDescent="0.25">
      <c r="B42" s="299">
        <v>2.1</v>
      </c>
      <c r="C42" s="627" t="s">
        <v>1</v>
      </c>
      <c r="D42" s="628"/>
      <c r="E42" s="628"/>
      <c r="F42" s="628"/>
      <c r="G42" s="628"/>
      <c r="H42" s="628"/>
      <c r="I42" s="628"/>
      <c r="J42" s="629"/>
      <c r="K42" s="385">
        <f>'Positionen 2.1 - 2.4'!F4</f>
        <v>0</v>
      </c>
      <c r="L42" s="371"/>
      <c r="O42" s="482"/>
      <c r="P42" s="482"/>
      <c r="Q42" s="482"/>
      <c r="R42" s="482"/>
      <c r="S42" s="482"/>
    </row>
    <row r="43" spans="2:19" ht="15.75" customHeight="1" x14ac:dyDescent="0.25">
      <c r="B43" s="299">
        <v>2.2000000000000002</v>
      </c>
      <c r="C43" s="627" t="s">
        <v>418</v>
      </c>
      <c r="D43" s="628"/>
      <c r="E43" s="628"/>
      <c r="F43" s="628"/>
      <c r="G43" s="628"/>
      <c r="H43" s="628"/>
      <c r="I43" s="628"/>
      <c r="J43" s="629"/>
      <c r="K43" s="385">
        <f>'Positionen 2.1 - 2.4'!F19</f>
        <v>0</v>
      </c>
      <c r="L43" s="371"/>
      <c r="O43" s="482"/>
      <c r="P43" s="482"/>
      <c r="Q43" s="482"/>
      <c r="R43" s="482"/>
      <c r="S43" s="482"/>
    </row>
    <row r="44" spans="2:19" ht="15.75" customHeight="1" x14ac:dyDescent="0.25">
      <c r="B44" s="299">
        <v>2.2999999999999998</v>
      </c>
      <c r="C44" s="627" t="s">
        <v>50</v>
      </c>
      <c r="D44" s="628"/>
      <c r="E44" s="628"/>
      <c r="F44" s="628"/>
      <c r="G44" s="628"/>
      <c r="H44" s="628"/>
      <c r="I44" s="628"/>
      <c r="J44" s="629"/>
      <c r="K44" s="385">
        <f>'Positionen 2.1 - 2.4'!F23</f>
        <v>0</v>
      </c>
      <c r="L44" s="371"/>
      <c r="O44" s="482"/>
      <c r="P44" s="482"/>
      <c r="Q44" s="482"/>
      <c r="R44" s="482"/>
      <c r="S44" s="482"/>
    </row>
    <row r="45" spans="2:19" ht="15.75" customHeight="1" x14ac:dyDescent="0.25">
      <c r="B45" s="299">
        <v>2.4</v>
      </c>
      <c r="C45" s="627" t="s">
        <v>417</v>
      </c>
      <c r="D45" s="628"/>
      <c r="E45" s="628"/>
      <c r="F45" s="628"/>
      <c r="G45" s="628"/>
      <c r="H45" s="628"/>
      <c r="I45" s="628"/>
      <c r="J45" s="629"/>
      <c r="K45" s="385">
        <f>'Positionen 2.1 - 2.4'!F37</f>
        <v>0</v>
      </c>
      <c r="L45" s="371"/>
      <c r="O45" s="482"/>
      <c r="P45" s="482"/>
      <c r="Q45" s="482"/>
      <c r="R45" s="482"/>
      <c r="S45" s="482"/>
    </row>
    <row r="46" spans="2:19" ht="15.75" customHeight="1" x14ac:dyDescent="0.25">
      <c r="B46" s="299">
        <v>2.5</v>
      </c>
      <c r="C46" s="627" t="s">
        <v>416</v>
      </c>
      <c r="D46" s="628"/>
      <c r="E46" s="628"/>
      <c r="F46" s="628"/>
      <c r="G46" s="628"/>
      <c r="H46" s="628"/>
      <c r="I46" s="628"/>
      <c r="J46" s="629"/>
      <c r="K46" s="381"/>
      <c r="L46" s="371"/>
      <c r="O46" s="367" t="s">
        <v>3174</v>
      </c>
      <c r="P46" s="482"/>
      <c r="Q46" s="482"/>
      <c r="R46" s="482"/>
      <c r="S46" s="482"/>
    </row>
    <row r="47" spans="2:19" ht="15.75" customHeight="1" x14ac:dyDescent="0.25">
      <c r="B47" s="299">
        <v>2.6</v>
      </c>
      <c r="C47" s="627" t="s">
        <v>415</v>
      </c>
      <c r="D47" s="628"/>
      <c r="E47" s="628"/>
      <c r="F47" s="628"/>
      <c r="G47" s="628"/>
      <c r="H47" s="628"/>
      <c r="I47" s="628"/>
      <c r="J47" s="629"/>
      <c r="K47" s="381">
        <f>'Verpfl. 2.6'!I44</f>
        <v>0</v>
      </c>
      <c r="L47" s="371"/>
      <c r="O47" s="484" t="s">
        <v>149</v>
      </c>
      <c r="P47" s="484" t="s">
        <v>150</v>
      </c>
      <c r="Q47" s="484" t="s">
        <v>151</v>
      </c>
      <c r="R47" s="484" t="s">
        <v>152</v>
      </c>
      <c r="S47" s="482"/>
    </row>
    <row r="48" spans="2:19" ht="15.75" customHeight="1" x14ac:dyDescent="0.25">
      <c r="B48" s="299">
        <v>2.7</v>
      </c>
      <c r="C48" s="627" t="s">
        <v>2</v>
      </c>
      <c r="D48" s="628"/>
      <c r="E48" s="628"/>
      <c r="F48" s="628"/>
      <c r="G48" s="628"/>
      <c r="H48" s="628"/>
      <c r="I48" s="628"/>
      <c r="J48" s="629"/>
      <c r="K48" s="381"/>
      <c r="L48" s="371"/>
      <c r="N48" s="367" t="s">
        <v>153</v>
      </c>
      <c r="O48" s="484">
        <f>+'Camp-Abrechnung 1.0'!O49</f>
        <v>150</v>
      </c>
      <c r="P48" s="484">
        <f>+'Camp-Abrechnung 1.0'!P49</f>
        <v>200</v>
      </c>
      <c r="Q48" s="484"/>
      <c r="R48" s="484"/>
      <c r="S48" s="482"/>
    </row>
    <row r="49" spans="1:24" ht="15.75" customHeight="1" x14ac:dyDescent="0.25">
      <c r="B49" s="299">
        <v>2.8</v>
      </c>
      <c r="C49" s="627" t="s">
        <v>39</v>
      </c>
      <c r="D49" s="628"/>
      <c r="E49" s="628"/>
      <c r="F49" s="628"/>
      <c r="G49" s="628"/>
      <c r="H49" s="628"/>
      <c r="I49" s="628"/>
      <c r="J49" s="629"/>
      <c r="K49" s="385">
        <f>SUM(I12,K12:K15)*2</f>
        <v>0</v>
      </c>
      <c r="L49" s="371"/>
      <c r="N49" s="367" t="s">
        <v>154</v>
      </c>
      <c r="O49" s="484">
        <f>+'Camp-Abrechnung 1.0'!O50</f>
        <v>100</v>
      </c>
      <c r="P49" s="484">
        <f>+'Camp-Abrechnung 1.0'!P50</f>
        <v>140</v>
      </c>
      <c r="Q49" s="484">
        <f>+'Camp-Abrechnung 1.0'!Q50</f>
        <v>80</v>
      </c>
      <c r="R49" s="484">
        <f>+'Camp-Abrechnung 1.0'!R50</f>
        <v>45</v>
      </c>
      <c r="S49" s="482"/>
    </row>
    <row r="50" spans="1:24" ht="15.75" customHeight="1" x14ac:dyDescent="0.25">
      <c r="B50" s="299">
        <v>2.9</v>
      </c>
      <c r="C50" s="393" t="s">
        <v>414</v>
      </c>
      <c r="D50" s="328"/>
      <c r="E50" s="328"/>
      <c r="F50" s="328"/>
      <c r="G50" s="328"/>
      <c r="H50" s="328"/>
      <c r="I50" s="407" t="s">
        <v>413</v>
      </c>
      <c r="J50" s="381"/>
      <c r="K50" s="396">
        <f>IF(I4=0,0,IF(I6="P",P51,P51+P52)+P53)</f>
        <v>0</v>
      </c>
      <c r="L50" s="406" t="str">
        <f>IF(K50='Unterschriftsblatt 2.9'!F32,"o.k.","Differenz!
Teilzeitleiter (nicht anwesende Tage Abziehen)")</f>
        <v>o.k.</v>
      </c>
      <c r="O50" s="482"/>
      <c r="P50" s="482"/>
      <c r="Q50" s="482"/>
      <c r="R50" s="482"/>
      <c r="S50" s="482"/>
    </row>
    <row r="51" spans="1:24" ht="15.75" customHeight="1" x14ac:dyDescent="0.25">
      <c r="B51" s="382">
        <v>3</v>
      </c>
      <c r="C51" s="627" t="s">
        <v>77</v>
      </c>
      <c r="D51" s="628"/>
      <c r="E51" s="628"/>
      <c r="F51" s="628"/>
      <c r="G51" s="628"/>
      <c r="H51" s="628"/>
      <c r="I51" s="628"/>
      <c r="J51" s="629"/>
      <c r="K51" s="385">
        <f>'J+S-Abrechnung 3.0'!I37</f>
        <v>0</v>
      </c>
      <c r="L51" s="371"/>
      <c r="M51" s="405"/>
      <c r="N51" s="405"/>
      <c r="O51" s="405"/>
      <c r="P51" s="482">
        <f>IF(O14=0,0,(P48+((O14-1+K15)*Q49*I4+I4*P49))+O39*I4*R49)</f>
        <v>0</v>
      </c>
      <c r="Q51" s="485" t="s">
        <v>21</v>
      </c>
      <c r="R51" s="482"/>
      <c r="S51" s="482"/>
    </row>
    <row r="52" spans="1:24" ht="15.75" customHeight="1" x14ac:dyDescent="0.25">
      <c r="B52" s="299">
        <v>3.1</v>
      </c>
      <c r="C52" s="627" t="s">
        <v>30</v>
      </c>
      <c r="D52" s="628"/>
      <c r="E52" s="628"/>
      <c r="F52" s="628"/>
      <c r="G52" s="628"/>
      <c r="H52" s="628"/>
      <c r="I52" s="628"/>
      <c r="J52" s="629"/>
      <c r="K52" s="381"/>
      <c r="L52" s="403"/>
      <c r="M52" s="405"/>
      <c r="N52" s="405"/>
      <c r="O52" s="405"/>
      <c r="P52" s="482">
        <f>IF(O15=0,0,(O48+(I4*O49))+(I4*(O15-1)*Q49))</f>
        <v>0</v>
      </c>
      <c r="Q52" s="485" t="s">
        <v>22</v>
      </c>
      <c r="R52" s="482"/>
      <c r="S52" s="482"/>
    </row>
    <row r="53" spans="1:24" ht="15.75" customHeight="1" thickBot="1" x14ac:dyDescent="0.3">
      <c r="B53" s="404">
        <v>3.2</v>
      </c>
      <c r="C53" s="627" t="s">
        <v>5</v>
      </c>
      <c r="D53" s="628"/>
      <c r="E53" s="628"/>
      <c r="F53" s="628"/>
      <c r="G53" s="628"/>
      <c r="H53" s="628"/>
      <c r="I53" s="309">
        <f>I14</f>
        <v>0</v>
      </c>
      <c r="J53" s="328" t="s">
        <v>31</v>
      </c>
      <c r="K53" s="385">
        <f>I53*200</f>
        <v>0</v>
      </c>
      <c r="L53" s="403"/>
      <c r="M53" s="402"/>
      <c r="O53" s="482"/>
      <c r="P53" s="486">
        <f>J50</f>
        <v>0</v>
      </c>
      <c r="Q53" s="485" t="s">
        <v>412</v>
      </c>
      <c r="R53" s="482"/>
      <c r="S53" s="482"/>
    </row>
    <row r="54" spans="1:24" ht="15.75" customHeight="1" thickBot="1" x14ac:dyDescent="0.3">
      <c r="B54" s="401"/>
      <c r="C54" s="328"/>
      <c r="D54" s="328"/>
      <c r="E54" s="328"/>
      <c r="F54" s="328"/>
      <c r="G54" s="328"/>
      <c r="H54" s="328"/>
      <c r="I54" s="400"/>
      <c r="J54" s="397" t="s">
        <v>3</v>
      </c>
      <c r="K54" s="375">
        <f>SUM(K42:K53)</f>
        <v>0</v>
      </c>
      <c r="O54" s="482"/>
      <c r="P54" s="482"/>
      <c r="Q54" s="482"/>
      <c r="R54" s="482"/>
      <c r="S54" s="482"/>
      <c r="T54" s="487"/>
    </row>
    <row r="55" spans="1:24" ht="8.25" customHeight="1" x14ac:dyDescent="0.25">
      <c r="B55" s="618"/>
      <c r="C55" s="618"/>
      <c r="D55" s="618"/>
      <c r="E55" s="618"/>
      <c r="F55" s="618"/>
      <c r="G55" s="618"/>
      <c r="H55" s="618"/>
      <c r="I55" s="618"/>
      <c r="J55" s="618"/>
      <c r="K55" s="618"/>
      <c r="O55" s="482"/>
      <c r="P55" s="482"/>
      <c r="Q55" s="482"/>
      <c r="R55" s="482"/>
      <c r="S55" s="482"/>
    </row>
    <row r="56" spans="1:24" ht="15.75" customHeight="1" x14ac:dyDescent="0.25">
      <c r="B56" s="392" t="s">
        <v>49</v>
      </c>
      <c r="C56" s="391" t="s">
        <v>411</v>
      </c>
      <c r="D56" s="389"/>
      <c r="E56" s="390"/>
      <c r="F56" s="389"/>
      <c r="G56" s="389"/>
      <c r="H56" s="389"/>
      <c r="I56" s="389"/>
      <c r="J56" s="389"/>
      <c r="K56" s="399" t="s">
        <v>0</v>
      </c>
      <c r="O56" s="482"/>
      <c r="P56" s="482"/>
      <c r="Q56" s="482"/>
      <c r="R56" s="482"/>
      <c r="S56" s="482"/>
    </row>
    <row r="57" spans="1:24" ht="15" customHeight="1" x14ac:dyDescent="0.25">
      <c r="B57" s="382">
        <v>1</v>
      </c>
      <c r="C57" s="393" t="s">
        <v>410</v>
      </c>
      <c r="D57" s="386"/>
      <c r="E57" s="386"/>
      <c r="F57" s="386"/>
      <c r="G57" s="386"/>
      <c r="H57" s="386"/>
      <c r="I57" s="386"/>
      <c r="J57" s="385">
        <f>IF(B14="CHF",0,B14*(I12-I15))</f>
        <v>0</v>
      </c>
      <c r="K57" s="385"/>
      <c r="O57" s="482"/>
      <c r="P57" s="482"/>
      <c r="Q57" s="482"/>
      <c r="R57" s="482"/>
      <c r="S57" s="482"/>
    </row>
    <row r="58" spans="1:24" s="370" customFormat="1" ht="15" customHeight="1" x14ac:dyDescent="0.25">
      <c r="A58" s="287"/>
      <c r="B58" s="382">
        <v>4</v>
      </c>
      <c r="C58" s="393" t="s">
        <v>401</v>
      </c>
      <c r="D58" s="386"/>
      <c r="E58" s="328"/>
      <c r="F58" s="328"/>
      <c r="G58" s="328"/>
      <c r="H58" s="328"/>
      <c r="I58" s="328"/>
      <c r="J58" s="385">
        <f>-'Ermässigungen 4.0'!E10</f>
        <v>0</v>
      </c>
      <c r="K58" s="385">
        <f>SUM(J57:J58)</f>
        <v>0</v>
      </c>
      <c r="L58" s="371"/>
      <c r="M58" s="372"/>
      <c r="N58" s="372"/>
      <c r="O58" s="488"/>
      <c r="P58" s="488"/>
      <c r="Q58" s="488"/>
      <c r="R58" s="488"/>
      <c r="S58" s="488"/>
      <c r="T58" s="372"/>
      <c r="U58" s="372"/>
      <c r="V58" s="371"/>
      <c r="W58" s="371"/>
      <c r="X58" s="371"/>
    </row>
    <row r="59" spans="1:24" s="370" customFormat="1" ht="15.75" customHeight="1" thickBot="1" x14ac:dyDescent="0.3">
      <c r="A59" s="287"/>
      <c r="B59" s="382">
        <v>1.5</v>
      </c>
      <c r="C59" s="619" t="s">
        <v>409</v>
      </c>
      <c r="D59" s="620"/>
      <c r="E59" s="620"/>
      <c r="F59" s="620"/>
      <c r="G59" s="620"/>
      <c r="H59" s="620"/>
      <c r="I59" s="621"/>
      <c r="J59" s="381"/>
      <c r="K59" s="385">
        <f>SUM(J59)</f>
        <v>0</v>
      </c>
      <c r="L59" s="371"/>
      <c r="M59" s="372"/>
      <c r="N59" s="372"/>
      <c r="O59" s="488"/>
      <c r="P59" s="488"/>
      <c r="Q59" s="488"/>
      <c r="R59" s="488"/>
      <c r="S59" s="488"/>
      <c r="T59" s="372"/>
      <c r="U59" s="372"/>
      <c r="V59" s="371"/>
      <c r="W59" s="371"/>
      <c r="X59" s="371"/>
    </row>
    <row r="60" spans="1:24" s="370" customFormat="1" ht="15.75" customHeight="1" thickBot="1" x14ac:dyDescent="0.3">
      <c r="A60" s="287"/>
      <c r="B60" s="382"/>
      <c r="C60" s="393"/>
      <c r="D60" s="386"/>
      <c r="E60" s="386"/>
      <c r="F60" s="386"/>
      <c r="G60" s="386"/>
      <c r="H60" s="386"/>
      <c r="I60" s="398"/>
      <c r="J60" s="397" t="s">
        <v>4</v>
      </c>
      <c r="K60" s="375">
        <f>SUM(K57:K59)</f>
        <v>0</v>
      </c>
      <c r="L60" s="371"/>
      <c r="M60" s="372"/>
      <c r="N60" s="372"/>
      <c r="O60" s="488"/>
      <c r="P60" s="488"/>
      <c r="Q60" s="488"/>
      <c r="R60" s="488"/>
      <c r="S60" s="488"/>
      <c r="T60" s="372"/>
      <c r="U60" s="372"/>
      <c r="V60" s="371"/>
      <c r="W60" s="371"/>
      <c r="X60" s="371"/>
    </row>
    <row r="61" spans="1:24" s="370" customFormat="1" ht="8.25" customHeight="1" x14ac:dyDescent="0.25">
      <c r="A61" s="287"/>
      <c r="B61" s="618"/>
      <c r="C61" s="618"/>
      <c r="D61" s="618"/>
      <c r="E61" s="618"/>
      <c r="F61" s="618"/>
      <c r="G61" s="618"/>
      <c r="H61" s="618"/>
      <c r="I61" s="618"/>
      <c r="J61" s="618"/>
      <c r="K61" s="618"/>
      <c r="L61" s="371"/>
      <c r="M61" s="372"/>
      <c r="N61" s="372"/>
      <c r="O61" s="488"/>
      <c r="P61" s="488"/>
      <c r="Q61" s="488"/>
      <c r="R61" s="488"/>
      <c r="S61" s="488"/>
      <c r="T61" s="372"/>
      <c r="U61" s="372"/>
      <c r="V61" s="371"/>
      <c r="W61" s="371"/>
      <c r="X61" s="371"/>
    </row>
    <row r="62" spans="1:24" ht="15.75" customHeight="1" x14ac:dyDescent="0.25">
      <c r="B62" s="392" t="s">
        <v>49</v>
      </c>
      <c r="C62" s="391" t="s">
        <v>408</v>
      </c>
      <c r="D62" s="389"/>
      <c r="E62" s="390"/>
      <c r="F62" s="389"/>
      <c r="G62" s="389"/>
      <c r="H62" s="389"/>
      <c r="I62" s="389"/>
      <c r="J62" s="388" t="str">
        <f>IF(K60&lt;0,"/ Total Einnahmenüberschuss","/ Total Ausgabenüberschuss")</f>
        <v>/ Total Ausgabenüberschuss</v>
      </c>
      <c r="K62" s="387">
        <f>+K54-K60</f>
        <v>0</v>
      </c>
      <c r="O62" s="482"/>
      <c r="P62" s="482"/>
      <c r="Q62" s="482"/>
      <c r="R62" s="482"/>
      <c r="S62" s="482"/>
    </row>
    <row r="63" spans="1:24" ht="15.75" customHeight="1" x14ac:dyDescent="0.25">
      <c r="B63" s="382">
        <v>2.5</v>
      </c>
      <c r="C63" s="386" t="str">
        <f>"Leiteranteil Unterkunft (CHF " &amp; P65&amp;" / Leiter und Tag)"</f>
        <v>Leiteranteil Unterkunft (CHF 0 / Leiter und Tag)</v>
      </c>
      <c r="D63" s="386"/>
      <c r="E63" s="386"/>
      <c r="F63" s="386"/>
      <c r="G63" s="386"/>
      <c r="H63" s="386"/>
      <c r="I63" s="386"/>
      <c r="J63" s="396">
        <f>IF(K12=0,0,SUM(K12:K15)*I4*P65)</f>
        <v>0</v>
      </c>
      <c r="K63" s="624"/>
      <c r="O63" s="482"/>
      <c r="P63" s="482">
        <f>SUM(I12,K12:K15)</f>
        <v>0</v>
      </c>
      <c r="Q63" s="482" t="s">
        <v>407</v>
      </c>
      <c r="R63" s="482"/>
      <c r="S63" s="482"/>
    </row>
    <row r="64" spans="1:24" s="370" customFormat="1" ht="15.75" customHeight="1" x14ac:dyDescent="0.25">
      <c r="A64" s="287"/>
      <c r="B64" s="382">
        <v>2.6</v>
      </c>
      <c r="C64" s="386" t="s">
        <v>406</v>
      </c>
      <c r="D64" s="386"/>
      <c r="E64" s="386"/>
      <c r="F64" s="386"/>
      <c r="G64" s="386"/>
      <c r="H64" s="386"/>
      <c r="I64" s="386"/>
      <c r="J64" s="396">
        <f>IF(K12=0,0,SUM(K12:K15)*12)*I4</f>
        <v>0</v>
      </c>
      <c r="K64" s="625"/>
      <c r="L64" s="371"/>
      <c r="M64" s="372"/>
      <c r="N64" s="372"/>
      <c r="O64" s="488"/>
      <c r="P64" s="482">
        <f>IF(I6="P",SUM(K46:K47)/3*2,K46)</f>
        <v>0</v>
      </c>
      <c r="Q64" s="482" t="s">
        <v>405</v>
      </c>
      <c r="R64" s="488"/>
      <c r="S64" s="488"/>
      <c r="T64" s="372"/>
      <c r="U64" s="372"/>
      <c r="V64" s="371"/>
      <c r="W64" s="371"/>
      <c r="X64" s="371"/>
    </row>
    <row r="65" spans="1:28" s="370" customFormat="1" ht="15.75" customHeight="1" x14ac:dyDescent="0.25">
      <c r="A65" s="287"/>
      <c r="B65" s="382">
        <v>2.7</v>
      </c>
      <c r="C65" s="386" t="str">
        <f>"Leiteranteil Ski-Abonnemente für max "&amp;P66&amp;" Leiter   (gem. Rechnung)"</f>
        <v>Leiteranteil Ski-Abonnemente für max 0 Leiter   (gem. Rechnung)</v>
      </c>
      <c r="D65" s="386"/>
      <c r="E65" s="386"/>
      <c r="F65" s="386"/>
      <c r="G65" s="386"/>
      <c r="H65" s="386"/>
      <c r="I65" s="386"/>
      <c r="J65" s="381"/>
      <c r="K65" s="625"/>
      <c r="L65" s="371"/>
      <c r="M65" s="372"/>
      <c r="N65" s="372"/>
      <c r="O65" s="488"/>
      <c r="P65" s="482">
        <f>ROUND(IF(I4=0,0,+P64/P63/I4),0)</f>
        <v>0</v>
      </c>
      <c r="Q65" s="482" t="s">
        <v>404</v>
      </c>
      <c r="R65" s="488"/>
      <c r="S65" s="488"/>
      <c r="T65" s="372"/>
      <c r="U65" s="372"/>
      <c r="V65" s="371"/>
      <c r="W65" s="371"/>
      <c r="X65" s="371"/>
    </row>
    <row r="66" spans="1:28" s="370" customFormat="1" ht="15.75" customHeight="1" x14ac:dyDescent="0.25">
      <c r="A66" s="287"/>
      <c r="B66" s="382">
        <v>2.9</v>
      </c>
      <c r="C66" s="386" t="s">
        <v>344</v>
      </c>
      <c r="D66" s="386"/>
      <c r="E66" s="386"/>
      <c r="F66" s="386"/>
      <c r="G66" s="386"/>
      <c r="H66" s="386"/>
      <c r="I66" s="386"/>
      <c r="J66" s="395">
        <f>K50</f>
        <v>0</v>
      </c>
      <c r="K66" s="625"/>
      <c r="L66" s="371"/>
      <c r="M66" s="372"/>
      <c r="N66" s="372"/>
      <c r="O66" s="488"/>
      <c r="P66" s="488">
        <f>+O14+K14+K15+IF(O15&gt;1,1,0)</f>
        <v>0</v>
      </c>
      <c r="Q66" s="488" t="s">
        <v>403</v>
      </c>
      <c r="R66" s="488"/>
      <c r="S66" s="488"/>
      <c r="T66" s="372"/>
      <c r="U66" s="372"/>
      <c r="V66" s="371"/>
      <c r="W66" s="371"/>
      <c r="X66" s="371"/>
    </row>
    <row r="67" spans="1:28" s="370" customFormat="1" ht="15.75" customHeight="1" x14ac:dyDescent="0.25">
      <c r="A67" s="287"/>
      <c r="B67" s="382">
        <v>3</v>
      </c>
      <c r="C67" s="393" t="s">
        <v>402</v>
      </c>
      <c r="D67" s="386"/>
      <c r="E67" s="328"/>
      <c r="F67" s="328"/>
      <c r="G67" s="328"/>
      <c r="H67" s="328"/>
      <c r="I67" s="328"/>
      <c r="J67" s="394">
        <f>IF(AND(I8="Ja",I9&gt;1),'J+S-Abrechnung 3.0'!I37,0)</f>
        <v>0</v>
      </c>
      <c r="K67" s="625"/>
      <c r="L67" s="371"/>
      <c r="M67" s="372"/>
      <c r="N67" s="372"/>
      <c r="O67" s="488"/>
      <c r="P67" s="488"/>
      <c r="Q67" s="488"/>
      <c r="R67" s="488"/>
      <c r="S67" s="488"/>
      <c r="T67" s="372"/>
      <c r="U67" s="372"/>
      <c r="V67" s="371"/>
      <c r="W67" s="371"/>
      <c r="X67" s="371"/>
    </row>
    <row r="68" spans="1:28" s="370" customFormat="1" ht="15" customHeight="1" thickBot="1" x14ac:dyDescent="0.3">
      <c r="A68" s="287"/>
      <c r="B68" s="382">
        <v>4</v>
      </c>
      <c r="C68" s="393" t="s">
        <v>401</v>
      </c>
      <c r="D68" s="386"/>
      <c r="E68" s="328"/>
      <c r="F68" s="328"/>
      <c r="G68" s="328"/>
      <c r="H68" s="328"/>
      <c r="I68" s="328"/>
      <c r="J68" s="385">
        <f>-J58</f>
        <v>0</v>
      </c>
      <c r="K68" s="626"/>
      <c r="L68" s="371"/>
      <c r="M68" s="372"/>
      <c r="N68" s="372"/>
      <c r="O68" s="488"/>
      <c r="P68" s="488"/>
      <c r="Q68" s="488"/>
      <c r="R68" s="488"/>
      <c r="S68" s="488"/>
      <c r="T68" s="372"/>
      <c r="U68" s="372"/>
      <c r="V68" s="371"/>
      <c r="W68" s="371"/>
      <c r="X68" s="371"/>
    </row>
    <row r="69" spans="1:28" s="370" customFormat="1" ht="15.75" customHeight="1" thickBot="1" x14ac:dyDescent="0.3">
      <c r="A69" s="287"/>
      <c r="B69" s="382"/>
      <c r="C69" s="619"/>
      <c r="D69" s="620"/>
      <c r="E69" s="620"/>
      <c r="F69" s="620"/>
      <c r="G69" s="620"/>
      <c r="H69" s="620"/>
      <c r="I69" s="621"/>
      <c r="J69" s="381"/>
      <c r="K69" s="380">
        <f>SUM(J62:J69)</f>
        <v>0</v>
      </c>
      <c r="L69" s="371"/>
      <c r="M69" s="372"/>
      <c r="N69" s="372"/>
      <c r="O69" s="488"/>
      <c r="P69" s="488"/>
      <c r="Q69" s="488"/>
      <c r="R69" s="488"/>
      <c r="S69" s="488"/>
      <c r="T69" s="372"/>
      <c r="U69" s="372"/>
      <c r="V69" s="371"/>
      <c r="W69" s="371"/>
      <c r="X69" s="371"/>
    </row>
    <row r="70" spans="1:28" ht="8.25" customHeight="1" x14ac:dyDescent="0.25">
      <c r="B70" s="618"/>
      <c r="C70" s="618"/>
      <c r="D70" s="618"/>
      <c r="E70" s="618"/>
      <c r="F70" s="618"/>
      <c r="G70" s="618"/>
      <c r="H70" s="618"/>
      <c r="I70" s="618"/>
      <c r="J70" s="618"/>
      <c r="K70" s="618"/>
      <c r="O70" s="482"/>
      <c r="P70" s="482"/>
      <c r="Q70" s="482"/>
      <c r="R70" s="482"/>
      <c r="S70" s="482"/>
    </row>
    <row r="71" spans="1:28" ht="15.75" customHeight="1" x14ac:dyDescent="0.25">
      <c r="B71" s="392" t="s">
        <v>49</v>
      </c>
      <c r="C71" s="391" t="s">
        <v>400</v>
      </c>
      <c r="D71" s="389"/>
      <c r="E71" s="390"/>
      <c r="F71" s="389"/>
      <c r="G71" s="389"/>
      <c r="H71" s="389"/>
      <c r="I71" s="389"/>
      <c r="J71" s="388" t="s">
        <v>399</v>
      </c>
      <c r="K71" s="387">
        <f>IF(K62&lt;K69,K62,K69)</f>
        <v>0</v>
      </c>
      <c r="L71" s="616" t="str">
        <f>IF(K62&gt;K69,"Ups, bitte Abrechnung vor Abgabe mit schneezüri besprechen","")</f>
        <v/>
      </c>
      <c r="M71" s="617"/>
      <c r="N71" s="617"/>
      <c r="O71" s="482"/>
      <c r="P71" s="367">
        <f>IF(K62&lt;K69,K62,K69)</f>
        <v>0</v>
      </c>
      <c r="Q71" s="367" t="s">
        <v>398</v>
      </c>
      <c r="R71" s="482"/>
      <c r="S71" s="482"/>
    </row>
    <row r="72" spans="1:28" s="370" customFormat="1" ht="15.75" customHeight="1" x14ac:dyDescent="0.25">
      <c r="A72" s="287"/>
      <c r="B72" s="382"/>
      <c r="C72" s="386" t="s">
        <v>397</v>
      </c>
      <c r="D72" s="386"/>
      <c r="E72" s="386"/>
      <c r="F72" s="386"/>
      <c r="G72" s="386"/>
      <c r="H72" s="386"/>
      <c r="I72" s="386"/>
      <c r="J72" s="385">
        <f>Vorschuss!G14</f>
        <v>0</v>
      </c>
      <c r="K72" s="384"/>
      <c r="L72" s="616"/>
      <c r="M72" s="617"/>
      <c r="N72" s="617"/>
      <c r="O72" s="488"/>
      <c r="P72" s="488"/>
      <c r="Q72" s="488"/>
      <c r="R72" s="488"/>
      <c r="S72" s="488"/>
      <c r="T72" s="372"/>
      <c r="U72" s="372"/>
      <c r="V72" s="371"/>
      <c r="W72" s="371"/>
      <c r="X72" s="371"/>
    </row>
    <row r="73" spans="1:28" s="370" customFormat="1" ht="15.75" customHeight="1" thickBot="1" x14ac:dyDescent="0.3">
      <c r="A73" s="287"/>
      <c r="B73" s="382"/>
      <c r="C73" s="619"/>
      <c r="D73" s="620"/>
      <c r="E73" s="620"/>
      <c r="F73" s="620"/>
      <c r="G73" s="620"/>
      <c r="H73" s="620"/>
      <c r="I73" s="621"/>
      <c r="J73" s="381"/>
      <c r="K73" s="383"/>
      <c r="L73" s="371"/>
      <c r="M73" s="372"/>
      <c r="N73" s="372"/>
      <c r="O73" s="489" t="s">
        <v>311</v>
      </c>
      <c r="P73" s="488"/>
      <c r="Q73" s="490" t="s">
        <v>312</v>
      </c>
      <c r="R73" s="488"/>
      <c r="S73" s="489" t="s">
        <v>396</v>
      </c>
      <c r="T73" s="491"/>
      <c r="U73" s="372"/>
      <c r="V73" s="371"/>
      <c r="W73" s="371"/>
      <c r="X73" s="371"/>
    </row>
    <row r="74" spans="1:28" s="370" customFormat="1" ht="15.75" customHeight="1" thickBot="1" x14ac:dyDescent="0.3">
      <c r="A74" s="287"/>
      <c r="B74" s="382"/>
      <c r="C74" s="619"/>
      <c r="D74" s="620"/>
      <c r="E74" s="620"/>
      <c r="F74" s="620"/>
      <c r="G74" s="620"/>
      <c r="H74" s="620"/>
      <c r="I74" s="621"/>
      <c r="J74" s="381"/>
      <c r="K74" s="380">
        <f>SUM(J72:J74)</f>
        <v>0</v>
      </c>
      <c r="L74" s="371"/>
      <c r="M74" s="379"/>
      <c r="N74" s="490" t="s">
        <v>314</v>
      </c>
      <c r="O74" s="372"/>
      <c r="P74" s="489" t="s">
        <v>315</v>
      </c>
      <c r="Q74" s="372"/>
      <c r="R74" s="490" t="s">
        <v>316</v>
      </c>
      <c r="S74" s="491"/>
      <c r="T74" s="489" t="s">
        <v>313</v>
      </c>
      <c r="U74" s="372"/>
      <c r="V74" s="371"/>
      <c r="W74" s="371"/>
      <c r="X74" s="371"/>
    </row>
    <row r="75" spans="1:28" s="370" customFormat="1" ht="9" customHeight="1" thickBot="1" x14ac:dyDescent="0.3">
      <c r="A75" s="287"/>
      <c r="B75" s="289"/>
      <c r="C75" s="289"/>
      <c r="D75" s="289"/>
      <c r="E75" s="289"/>
      <c r="F75" s="289"/>
      <c r="G75" s="289"/>
      <c r="H75" s="289"/>
      <c r="I75" s="289"/>
      <c r="J75" s="289"/>
      <c r="K75" s="289"/>
      <c r="L75" s="371"/>
      <c r="M75" s="372"/>
      <c r="N75" s="372"/>
      <c r="O75" s="488"/>
      <c r="P75" s="488"/>
      <c r="Q75" s="488"/>
      <c r="R75" s="488"/>
      <c r="S75" s="372"/>
      <c r="T75" s="488"/>
      <c r="U75" s="372"/>
      <c r="V75" s="371"/>
      <c r="W75" s="371"/>
      <c r="X75" s="371"/>
    </row>
    <row r="76" spans="1:28" ht="16.2" thickBot="1" x14ac:dyDescent="0.3">
      <c r="B76" s="378" t="str">
        <f>IF(K76&gt;0,"Saldo zu Gunsten Hauptleitung","Saldo zu Gunsten schneezüri")</f>
        <v>Saldo zu Gunsten schneezüri</v>
      </c>
      <c r="C76" s="376"/>
      <c r="D76" s="376"/>
      <c r="E76" s="376"/>
      <c r="F76" s="377" t="str">
        <f>IF(K76&lt;0," (= minus Betrag)","")</f>
        <v/>
      </c>
      <c r="G76" s="376"/>
      <c r="H76" s="376"/>
      <c r="I76" s="376"/>
      <c r="J76" s="376"/>
      <c r="K76" s="375">
        <f>+K71-K74</f>
        <v>0</v>
      </c>
      <c r="M76" s="374"/>
      <c r="N76" s="374">
        <f>+K42+K43</f>
        <v>0</v>
      </c>
      <c r="O76" s="374">
        <f>+K44+K46</f>
        <v>0</v>
      </c>
      <c r="P76" s="374">
        <f>+K47</f>
        <v>0</v>
      </c>
      <c r="Q76" s="374">
        <f>+K48</f>
        <v>0</v>
      </c>
      <c r="R76" s="374">
        <f>+K50</f>
        <v>0</v>
      </c>
      <c r="S76" s="374">
        <f>+K45+K49+K52+K53</f>
        <v>0</v>
      </c>
      <c r="T76" s="374">
        <f>+K51</f>
        <v>0</v>
      </c>
    </row>
    <row r="77" spans="1:28" s="370" customFormat="1" ht="7.5" customHeight="1" x14ac:dyDescent="0.25">
      <c r="A77" s="287"/>
      <c r="B77" s="289"/>
      <c r="C77" s="289"/>
      <c r="D77" s="289"/>
      <c r="E77" s="289"/>
      <c r="F77" s="289"/>
      <c r="G77" s="289"/>
      <c r="H77" s="289"/>
      <c r="I77" s="289"/>
      <c r="J77" s="289"/>
      <c r="K77" s="373"/>
      <c r="L77" s="371"/>
      <c r="M77" s="372"/>
      <c r="N77" s="372"/>
      <c r="O77" s="488"/>
      <c r="P77" s="488"/>
      <c r="Q77" s="488"/>
      <c r="R77" s="488"/>
      <c r="S77" s="488"/>
      <c r="T77" s="372"/>
      <c r="U77" s="372"/>
      <c r="V77" s="371"/>
      <c r="W77" s="371"/>
      <c r="X77" s="371"/>
    </row>
    <row r="78" spans="1:28" ht="15" customHeight="1" x14ac:dyDescent="0.25">
      <c r="O78" s="482"/>
      <c r="P78" s="482"/>
      <c r="Q78" s="482"/>
      <c r="R78" s="482"/>
      <c r="S78" s="482"/>
      <c r="T78" s="482"/>
      <c r="U78" s="482"/>
      <c r="V78" s="369"/>
      <c r="W78" s="369"/>
      <c r="X78" s="369"/>
      <c r="Y78" s="368"/>
      <c r="Z78" s="368"/>
      <c r="AA78" s="368"/>
      <c r="AB78" s="368"/>
    </row>
    <row r="79" spans="1:28" ht="15" customHeight="1" x14ac:dyDescent="0.25">
      <c r="B79" s="289"/>
      <c r="O79" s="482"/>
      <c r="P79" s="482"/>
      <c r="Q79" s="482"/>
      <c r="R79" s="482"/>
      <c r="S79" s="482"/>
    </row>
    <row r="80" spans="1:28" ht="15" customHeight="1" x14ac:dyDescent="0.25">
      <c r="O80" s="482"/>
      <c r="P80" s="482"/>
      <c r="Q80" s="482"/>
      <c r="R80" s="482"/>
      <c r="S80" s="482"/>
    </row>
  </sheetData>
  <sheetProtection password="C3D7" sheet="1"/>
  <mergeCells count="66">
    <mergeCell ref="C4:F4"/>
    <mergeCell ref="C6:F6"/>
    <mergeCell ref="G4:H4"/>
    <mergeCell ref="G6:H6"/>
    <mergeCell ref="B5:I5"/>
    <mergeCell ref="C73:I73"/>
    <mergeCell ref="C59:I59"/>
    <mergeCell ref="C8:F8"/>
    <mergeCell ref="B9:H9"/>
    <mergeCell ref="E19:J19"/>
    <mergeCell ref="B19:D19"/>
    <mergeCell ref="B20:D20"/>
    <mergeCell ref="B14:C14"/>
    <mergeCell ref="B23:D23"/>
    <mergeCell ref="E22:J22"/>
    <mergeCell ref="E29:J29"/>
    <mergeCell ref="B16:K16"/>
    <mergeCell ref="B18:D18"/>
    <mergeCell ref="C74:I74"/>
    <mergeCell ref="C51:J51"/>
    <mergeCell ref="E23:J23"/>
    <mergeCell ref="E27:J27"/>
    <mergeCell ref="C53:H53"/>
    <mergeCell ref="C47:J47"/>
    <mergeCell ref="C49:J49"/>
    <mergeCell ref="E33:J33"/>
    <mergeCell ref="E34:J34"/>
    <mergeCell ref="E38:J38"/>
    <mergeCell ref="E35:J35"/>
    <mergeCell ref="E36:J36"/>
    <mergeCell ref="E30:J30"/>
    <mergeCell ref="B24:D24"/>
    <mergeCell ref="E24:J24"/>
    <mergeCell ref="E28:J28"/>
    <mergeCell ref="B1:K1"/>
    <mergeCell ref="B10:K10"/>
    <mergeCell ref="B11:K11"/>
    <mergeCell ref="B17:K17"/>
    <mergeCell ref="C44:J44"/>
    <mergeCell ref="B13:K13"/>
    <mergeCell ref="E26:J26"/>
    <mergeCell ref="E32:J32"/>
    <mergeCell ref="E37:J37"/>
    <mergeCell ref="B7:H7"/>
    <mergeCell ref="B22:D22"/>
    <mergeCell ref="B21:D21"/>
    <mergeCell ref="E20:J20"/>
    <mergeCell ref="E18:J18"/>
    <mergeCell ref="E21:J21"/>
    <mergeCell ref="J4:K9"/>
    <mergeCell ref="L71:N72"/>
    <mergeCell ref="B70:K70"/>
    <mergeCell ref="C69:I69"/>
    <mergeCell ref="E25:J25"/>
    <mergeCell ref="K63:K68"/>
    <mergeCell ref="B61:K61"/>
    <mergeCell ref="C46:J46"/>
    <mergeCell ref="E31:J31"/>
    <mergeCell ref="C45:J45"/>
    <mergeCell ref="E39:J39"/>
    <mergeCell ref="C43:J43"/>
    <mergeCell ref="C52:J52"/>
    <mergeCell ref="C48:J48"/>
    <mergeCell ref="B55:K55"/>
    <mergeCell ref="C42:J42"/>
    <mergeCell ref="B40:K40"/>
  </mergeCells>
  <conditionalFormatting sqref="B19">
    <cfRule type="cellIs" dxfId="36" priority="13" operator="equal">
      <formula>"Hauptleitung"</formula>
    </cfRule>
  </conditionalFormatting>
  <conditionalFormatting sqref="B20">
    <cfRule type="cellIs" dxfId="35" priority="12" operator="equal">
      <formula>"Küchenchef"</formula>
    </cfRule>
  </conditionalFormatting>
  <conditionalFormatting sqref="B21:B39">
    <cfRule type="cellIs" dxfId="34" priority="3" operator="equal">
      <formula>"MitleiterIn"</formula>
    </cfRule>
  </conditionalFormatting>
  <conditionalFormatting sqref="B14:C14">
    <cfRule type="cellIs" dxfId="33" priority="6" stopIfTrue="1" operator="equal">
      <formula>"CHF"</formula>
    </cfRule>
  </conditionalFormatting>
  <conditionalFormatting sqref="B20:K20">
    <cfRule type="expression" dxfId="32" priority="10">
      <formula>IF($B$20="Kein Küchenchef",1,0)</formula>
    </cfRule>
    <cfRule type="expression" dxfId="31" priority="11">
      <formula>IF($I$6="P",1,0)</formula>
    </cfRule>
  </conditionalFormatting>
  <conditionalFormatting sqref="C4">
    <cfRule type="cellIs" dxfId="30" priority="5" operator="equal">
      <formula>"Hauptleitung"</formula>
    </cfRule>
  </conditionalFormatting>
  <conditionalFormatting sqref="C8:F8">
    <cfRule type="cellIs" dxfId="29" priority="9" stopIfTrue="1" operator="equal">
      <formula>"Schulhaus"</formula>
    </cfRule>
  </conditionalFormatting>
  <conditionalFormatting sqref="H2 J2">
    <cfRule type="cellIs" dxfId="28" priority="15" stopIfTrue="1" operator="equal">
      <formula>"tt.mm.jj"</formula>
    </cfRule>
  </conditionalFormatting>
  <conditionalFormatting sqref="K47">
    <cfRule type="cellIs" dxfId="27" priority="4" operator="equal">
      <formula>0</formula>
    </cfRule>
  </conditionalFormatting>
  <conditionalFormatting sqref="M19">
    <cfRule type="expression" dxfId="26" priority="16" stopIfTrue="1">
      <formula>IF(B19="","Hauptleitung",)</formula>
    </cfRule>
  </conditionalFormatting>
  <dataValidations disablePrompts="1" count="3">
    <dataValidation type="list" allowBlank="1" showInputMessage="1" showErrorMessage="1" sqref="K19:K39" xr:uid="{00000000-0002-0000-0600-000000000000}">
      <formula1>$P$6:$P$8</formula1>
    </dataValidation>
    <dataValidation type="list" allowBlank="1" showInputMessage="1" showErrorMessage="1" sqref="I6" xr:uid="{00000000-0002-0000-0600-000001000000}">
      <formula1>$O$6:$O$8</formula1>
    </dataValidation>
    <dataValidation type="list" allowBlank="1" showInputMessage="1" showErrorMessage="1" sqref="I8" xr:uid="{00000000-0002-0000-0600-000002000000}">
      <formula1>$N$6:$N$8</formula1>
    </dataValidation>
  </dataValidations>
  <pageMargins left="0.70866141732283472" right="0.19685039370078741" top="0.15748031496062992" bottom="0.39370078740157483" header="0.11811023622047245" footer="0.15748031496062992"/>
  <pageSetup paperSize="9" scale="74" orientation="portrait" r:id="rId1"/>
  <headerFooter alignWithMargins="0">
    <oddFooter>&amp;L&amp;8&amp;F&amp;R&amp;8gedruckt: &amp;D; &amp;T</oddFooter>
  </headerFooter>
  <ignoredErrors>
    <ignoredError sqref="B4:I8 H2:J2 B14:K18 B40:K74 B19:G19 I19:K19 B20:G20 I20:K20 B21:G21 I21:K21 B22:G22 I22:K22 B23:G23 I23:K23 B24:G24 I24:K24 B25:G25 I25:K25 B26:G26 I26:K26 B27:G27 I27:K27 B28:G28 I28:K28 B29:G29 I29:K29 B30:G30 I30:K30 B31:G31 I31:K31 B32:G32 I32:K32 B33:G33 I33:K33 B34:G34 I34:K34 B35:G35 I35:K35 B36:G36 I36:K36 B37:G37 I37:K37 B38:G38 I38:K38 B39:G39 I39:K39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DBF9AAF-4AE0-408F-9023-EF2DD87BB5D8}">
            <xm:f>IF(Datenstammblatt!$E$1&lt;&gt;"SH-Camp o. DL",1,0)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A1:K76</xm:sqref>
        </x14:conditionalFormatting>
        <x14:conditionalFormatting xmlns:xm="http://schemas.microsoft.com/office/excel/2006/main">
          <x14:cfRule type="expression" priority="1" id="{2579B7B4-3DF3-471E-9548-CEAEADBBFDAC}">
            <xm:f>IF(Datenstammblatt!$E$1&lt;&gt;"SH-Camp o. DL",1,0)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B1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indexed="43"/>
    <pageSetUpPr fitToPage="1"/>
  </sheetPr>
  <dimension ref="A1:M38"/>
  <sheetViews>
    <sheetView zoomScale="85" zoomScaleNormal="85" workbookViewId="0">
      <selection sqref="A1:A37"/>
    </sheetView>
  </sheetViews>
  <sheetFormatPr baseColWidth="10" defaultColWidth="11.44140625" defaultRowHeight="13.2" x14ac:dyDescent="0.25"/>
  <cols>
    <col min="1" max="1" width="3.109375" customWidth="1"/>
    <col min="2" max="2" width="8" customWidth="1"/>
    <col min="3" max="3" width="26.33203125" customWidth="1"/>
    <col min="4" max="4" width="48.33203125" customWidth="1"/>
    <col min="5" max="5" width="6.44140625" customWidth="1"/>
    <col min="6" max="6" width="12.44140625" customWidth="1"/>
    <col min="7" max="7" width="2.5546875" customWidth="1"/>
    <col min="8" max="8" width="11.44140625" style="99" customWidth="1"/>
  </cols>
  <sheetData>
    <row r="1" spans="1:13" x14ac:dyDescent="0.25">
      <c r="A1" s="566"/>
      <c r="B1" s="581"/>
      <c r="C1" s="581"/>
      <c r="D1" s="581"/>
      <c r="E1" s="581"/>
      <c r="F1" s="581"/>
      <c r="G1" s="665"/>
      <c r="H1" s="190"/>
      <c r="I1" s="190"/>
      <c r="J1" s="190"/>
      <c r="K1" s="190"/>
      <c r="L1" s="190"/>
      <c r="M1" s="190"/>
    </row>
    <row r="2" spans="1:13" ht="27" customHeight="1" x14ac:dyDescent="0.25">
      <c r="A2" s="566"/>
      <c r="B2" s="44" t="s">
        <v>256</v>
      </c>
      <c r="C2" s="45"/>
      <c r="D2" s="46" t="str">
        <f>IF('Camp-Abrechnung 1.0'!D4="","",'Camp-Abrechnung 1.0'!D4)</f>
        <v/>
      </c>
      <c r="E2" s="46" t="str">
        <f>IF('Camp-Abrechnung 1.0'!D8="","",'Camp-Abrechnung 1.0'!D8)</f>
        <v/>
      </c>
      <c r="F2" s="164">
        <f>'Camp-Abrechnung 1.0'!L2</f>
        <v>2024</v>
      </c>
      <c r="G2" s="665"/>
      <c r="H2" s="190"/>
      <c r="I2" s="190"/>
      <c r="J2" s="190"/>
      <c r="K2" s="190"/>
      <c r="L2" s="190"/>
      <c r="M2" s="190"/>
    </row>
    <row r="3" spans="1:13" ht="15" customHeight="1" thickBot="1" x14ac:dyDescent="0.3">
      <c r="A3" s="566"/>
      <c r="B3" s="687" t="str">
        <f>"Ver. "&amp;Anleitung!H2</f>
        <v>Ver. 2024 - 1.0</v>
      </c>
      <c r="C3" s="687"/>
      <c r="D3" s="687"/>
      <c r="E3" s="687"/>
      <c r="F3" s="687"/>
      <c r="G3" s="665"/>
      <c r="H3" s="190"/>
      <c r="I3" s="190"/>
      <c r="J3" s="190"/>
      <c r="K3" s="190"/>
      <c r="L3" s="190"/>
      <c r="M3" s="190"/>
    </row>
    <row r="4" spans="1:13" ht="24" customHeight="1" thickBot="1" x14ac:dyDescent="0.3">
      <c r="A4" s="566"/>
      <c r="B4" s="47">
        <v>2.1</v>
      </c>
      <c r="C4" s="684" t="s">
        <v>52</v>
      </c>
      <c r="D4" s="685"/>
      <c r="E4" s="686"/>
      <c r="F4" s="174"/>
      <c r="G4" s="665"/>
      <c r="H4" s="190"/>
      <c r="I4" s="190"/>
      <c r="J4" s="190"/>
      <c r="K4" s="190"/>
      <c r="L4" s="190"/>
      <c r="M4" s="190"/>
    </row>
    <row r="5" spans="1:13" ht="15.75" customHeight="1" x14ac:dyDescent="0.25">
      <c r="A5" s="566"/>
      <c r="B5" s="680" t="s">
        <v>58</v>
      </c>
      <c r="C5" s="674" t="s">
        <v>53</v>
      </c>
      <c r="D5" s="675"/>
      <c r="E5" s="676"/>
      <c r="F5" s="48"/>
      <c r="G5" s="665"/>
      <c r="H5" s="190"/>
      <c r="I5" s="190"/>
      <c r="J5" s="190"/>
      <c r="K5" s="190"/>
      <c r="L5" s="190"/>
      <c r="M5" s="190"/>
    </row>
    <row r="6" spans="1:13" ht="15.75" customHeight="1" x14ac:dyDescent="0.25">
      <c r="A6" s="566"/>
      <c r="B6" s="678"/>
      <c r="C6" s="43" t="s">
        <v>56</v>
      </c>
      <c r="D6" s="682"/>
      <c r="E6" s="683"/>
      <c r="F6" s="173"/>
      <c r="G6" s="665"/>
      <c r="H6" s="190"/>
      <c r="I6" s="190"/>
      <c r="J6" s="190"/>
      <c r="K6" s="190"/>
      <c r="L6" s="190"/>
      <c r="M6" s="190"/>
    </row>
    <row r="7" spans="1:13" ht="15.75" customHeight="1" x14ac:dyDescent="0.25">
      <c r="A7" s="566"/>
      <c r="B7" s="678"/>
      <c r="C7" s="43" t="s">
        <v>56</v>
      </c>
      <c r="D7" s="682"/>
      <c r="E7" s="683"/>
      <c r="F7" s="173"/>
      <c r="G7" s="665"/>
      <c r="H7" s="190"/>
      <c r="I7" s="190"/>
      <c r="J7" s="190"/>
      <c r="K7" s="190"/>
      <c r="L7" s="190"/>
      <c r="M7" s="190"/>
    </row>
    <row r="8" spans="1:13" ht="15.75" customHeight="1" x14ac:dyDescent="0.25">
      <c r="A8" s="566"/>
      <c r="B8" s="678"/>
      <c r="C8" s="43" t="s">
        <v>56</v>
      </c>
      <c r="D8" s="682"/>
      <c r="E8" s="683"/>
      <c r="F8" s="173"/>
      <c r="G8" s="665"/>
      <c r="H8" s="190"/>
      <c r="I8" s="190"/>
      <c r="J8" s="190"/>
      <c r="K8" s="190"/>
      <c r="L8" s="190"/>
      <c r="M8" s="190"/>
    </row>
    <row r="9" spans="1:13" ht="15.75" customHeight="1" x14ac:dyDescent="0.25">
      <c r="A9" s="566"/>
      <c r="B9" s="678"/>
      <c r="C9" s="43" t="s">
        <v>56</v>
      </c>
      <c r="D9" s="682"/>
      <c r="E9" s="683"/>
      <c r="F9" s="173"/>
      <c r="G9" s="665"/>
      <c r="H9" s="190"/>
      <c r="I9" s="190"/>
      <c r="J9" s="190"/>
      <c r="K9" s="190"/>
      <c r="L9" s="190"/>
      <c r="M9" s="190"/>
    </row>
    <row r="10" spans="1:13" ht="15.75" customHeight="1" x14ac:dyDescent="0.25">
      <c r="A10" s="566"/>
      <c r="B10" s="679"/>
      <c r="C10" s="43" t="s">
        <v>56</v>
      </c>
      <c r="D10" s="682"/>
      <c r="E10" s="683"/>
      <c r="F10" s="173"/>
      <c r="G10" s="665"/>
      <c r="H10" s="190"/>
      <c r="I10" s="190"/>
      <c r="J10" s="190"/>
      <c r="K10" s="190"/>
      <c r="L10" s="190"/>
      <c r="M10" s="190"/>
    </row>
    <row r="11" spans="1:13" ht="16.5" customHeight="1" x14ac:dyDescent="0.25">
      <c r="A11" s="566"/>
      <c r="B11" s="677" t="s">
        <v>57</v>
      </c>
      <c r="C11" s="666" t="s">
        <v>54</v>
      </c>
      <c r="D11" s="681"/>
      <c r="E11" s="667"/>
      <c r="F11" s="49"/>
      <c r="G11" s="665"/>
      <c r="H11" s="190"/>
      <c r="I11" s="190"/>
      <c r="J11" s="190"/>
      <c r="K11" s="190"/>
      <c r="L11" s="190"/>
      <c r="M11" s="190"/>
    </row>
    <row r="12" spans="1:13" ht="15.75" customHeight="1" x14ac:dyDescent="0.25">
      <c r="A12" s="566"/>
      <c r="B12" s="678"/>
      <c r="C12" s="43" t="s">
        <v>55</v>
      </c>
      <c r="D12" s="682"/>
      <c r="E12" s="683"/>
      <c r="F12" s="173"/>
      <c r="G12" s="665"/>
      <c r="H12" s="190"/>
      <c r="I12" s="190"/>
      <c r="J12" s="190"/>
      <c r="K12" s="190"/>
      <c r="L12" s="190"/>
      <c r="M12" s="190"/>
    </row>
    <row r="13" spans="1:13" ht="15.75" customHeight="1" x14ac:dyDescent="0.25">
      <c r="A13" s="566"/>
      <c r="B13" s="678"/>
      <c r="C13" s="43" t="s">
        <v>55</v>
      </c>
      <c r="D13" s="40"/>
      <c r="E13" s="41"/>
      <c r="F13" s="173"/>
      <c r="G13" s="665"/>
      <c r="H13" s="190"/>
      <c r="I13" s="190"/>
      <c r="J13" s="190"/>
      <c r="K13" s="190"/>
      <c r="L13" s="190"/>
      <c r="M13" s="190"/>
    </row>
    <row r="14" spans="1:13" ht="15.75" customHeight="1" x14ac:dyDescent="0.25">
      <c r="A14" s="566"/>
      <c r="B14" s="678"/>
      <c r="C14" s="43" t="s">
        <v>55</v>
      </c>
      <c r="D14" s="40"/>
      <c r="E14" s="41"/>
      <c r="F14" s="173"/>
      <c r="G14" s="665"/>
      <c r="H14" s="190"/>
      <c r="I14" s="190"/>
      <c r="J14" s="190"/>
      <c r="K14" s="190"/>
      <c r="L14" s="190"/>
      <c r="M14" s="190"/>
    </row>
    <row r="15" spans="1:13" ht="15.75" customHeight="1" x14ac:dyDescent="0.25">
      <c r="A15" s="566"/>
      <c r="B15" s="678"/>
      <c r="C15" s="43" t="s">
        <v>55</v>
      </c>
      <c r="D15" s="40"/>
      <c r="E15" s="41"/>
      <c r="F15" s="173"/>
      <c r="G15" s="665"/>
      <c r="H15" s="190"/>
      <c r="I15" s="190"/>
      <c r="J15" s="190"/>
      <c r="K15" s="190"/>
      <c r="L15" s="190"/>
      <c r="M15" s="190"/>
    </row>
    <row r="16" spans="1:13" ht="15.75" customHeight="1" x14ac:dyDescent="0.25">
      <c r="A16" s="566"/>
      <c r="B16" s="678"/>
      <c r="C16" s="43" t="s">
        <v>55</v>
      </c>
      <c r="D16" s="40"/>
      <c r="E16" s="41"/>
      <c r="F16" s="173"/>
      <c r="G16" s="665"/>
      <c r="H16" s="190"/>
      <c r="I16" s="190"/>
      <c r="J16" s="190"/>
      <c r="K16" s="190"/>
      <c r="L16" s="190"/>
      <c r="M16" s="190"/>
    </row>
    <row r="17" spans="1:13" ht="15.75" customHeight="1" x14ac:dyDescent="0.25">
      <c r="A17" s="566"/>
      <c r="B17" s="678"/>
      <c r="C17" s="43" t="s">
        <v>55</v>
      </c>
      <c r="D17" s="682"/>
      <c r="E17" s="683"/>
      <c r="F17" s="173"/>
      <c r="G17" s="665"/>
      <c r="H17" s="190"/>
      <c r="I17" s="190"/>
      <c r="J17" s="190"/>
      <c r="K17" s="190"/>
      <c r="L17" s="190"/>
      <c r="M17" s="190"/>
    </row>
    <row r="18" spans="1:13" ht="15.75" customHeight="1" x14ac:dyDescent="0.25">
      <c r="A18" s="566"/>
      <c r="B18" s="679"/>
      <c r="C18" s="43" t="s">
        <v>55</v>
      </c>
      <c r="D18" s="682"/>
      <c r="E18" s="683"/>
      <c r="F18" s="173"/>
      <c r="G18" s="665"/>
      <c r="H18" s="190"/>
      <c r="I18" s="190"/>
      <c r="J18" s="190"/>
      <c r="K18" s="190"/>
      <c r="L18" s="190"/>
      <c r="M18" s="190"/>
    </row>
    <row r="19" spans="1:13" ht="15.75" customHeight="1" thickBot="1" x14ac:dyDescent="0.3">
      <c r="A19" s="566"/>
      <c r="B19" s="50"/>
      <c r="C19" s="671" t="s">
        <v>71</v>
      </c>
      <c r="D19" s="672"/>
      <c r="E19" s="673"/>
      <c r="F19" s="51">
        <f>SUM(F6:F18)</f>
        <v>0</v>
      </c>
      <c r="G19" s="665"/>
      <c r="H19" s="190"/>
      <c r="I19" s="190"/>
      <c r="J19" s="190"/>
      <c r="K19" s="190"/>
      <c r="L19" s="190"/>
      <c r="M19" s="190"/>
    </row>
    <row r="20" spans="1:13" ht="23.25" customHeight="1" x14ac:dyDescent="0.25">
      <c r="A20" s="566"/>
      <c r="B20" s="52" t="s">
        <v>241</v>
      </c>
      <c r="C20" s="674" t="s">
        <v>72</v>
      </c>
      <c r="D20" s="675"/>
      <c r="E20" s="676"/>
      <c r="F20" s="175"/>
      <c r="G20" s="665"/>
      <c r="H20" s="190"/>
      <c r="I20" s="190"/>
      <c r="J20" s="190"/>
      <c r="K20" s="190"/>
      <c r="L20" s="190"/>
      <c r="M20" s="190"/>
    </row>
    <row r="21" spans="1:13" ht="15.75" customHeight="1" x14ac:dyDescent="0.25">
      <c r="A21" s="566"/>
      <c r="B21" s="53" t="s">
        <v>242</v>
      </c>
      <c r="C21" s="666" t="s">
        <v>73</v>
      </c>
      <c r="D21" s="667"/>
      <c r="E21" s="39"/>
      <c r="F21" s="49">
        <f>IF(E21="GR",200,IF(E21="FR",200,IF(E21="TI",200,IF(E21="VS",200,IF(E21="BE",200,IF(E21="",0,150))))))</f>
        <v>0</v>
      </c>
      <c r="G21" s="665"/>
      <c r="H21" s="178"/>
      <c r="I21" s="190"/>
      <c r="J21" s="190"/>
      <c r="K21" s="190"/>
      <c r="L21" s="190"/>
      <c r="M21" s="190"/>
    </row>
    <row r="22" spans="1:13" ht="15.75" customHeight="1" x14ac:dyDescent="0.25">
      <c r="A22" s="566"/>
      <c r="B22" s="53" t="s">
        <v>243</v>
      </c>
      <c r="C22" s="666" t="s">
        <v>74</v>
      </c>
      <c r="D22" s="667"/>
      <c r="E22" s="39"/>
      <c r="F22" s="49">
        <f>IF(E22="GR",200,IF(E22="FR",200,IF(E22="TI",200,IF(E22="VS",200,IF(E22="BE",200,IF(E22="",0,150))))))</f>
        <v>0</v>
      </c>
      <c r="G22" s="665"/>
      <c r="H22" s="178" t="s">
        <v>64</v>
      </c>
      <c r="I22" s="190"/>
      <c r="J22" s="190"/>
      <c r="K22" s="190"/>
      <c r="L22" s="190"/>
      <c r="M22" s="190"/>
    </row>
    <row r="23" spans="1:13" ht="15.75" customHeight="1" thickBot="1" x14ac:dyDescent="0.3">
      <c r="A23" s="566"/>
      <c r="B23" s="54"/>
      <c r="C23" s="671" t="s">
        <v>75</v>
      </c>
      <c r="D23" s="672"/>
      <c r="E23" s="673"/>
      <c r="F23" s="51">
        <f>SUM(F20:F22)</f>
        <v>0</v>
      </c>
      <c r="G23" s="665"/>
      <c r="H23" s="178" t="s">
        <v>63</v>
      </c>
      <c r="I23" s="190"/>
      <c r="J23" s="190"/>
      <c r="K23" s="190"/>
      <c r="L23" s="190"/>
      <c r="M23" s="190"/>
    </row>
    <row r="24" spans="1:13" ht="27" customHeight="1" x14ac:dyDescent="0.25">
      <c r="A24" s="566"/>
      <c r="B24" s="52">
        <v>2.4</v>
      </c>
      <c r="C24" s="674" t="s">
        <v>378</v>
      </c>
      <c r="D24" s="675"/>
      <c r="E24" s="676"/>
      <c r="F24" s="55"/>
      <c r="G24" s="665"/>
      <c r="H24" s="178" t="s">
        <v>61</v>
      </c>
      <c r="I24" s="190"/>
      <c r="J24" s="190"/>
      <c r="K24" s="190"/>
      <c r="L24" s="190"/>
      <c r="M24" s="190"/>
    </row>
    <row r="25" spans="1:13" ht="15.75" customHeight="1" x14ac:dyDescent="0.25">
      <c r="A25" s="566"/>
      <c r="B25" s="53" t="s">
        <v>244</v>
      </c>
      <c r="C25" s="668"/>
      <c r="D25" s="669"/>
      <c r="E25" s="670"/>
      <c r="F25" s="173"/>
      <c r="G25" s="665"/>
      <c r="H25" s="178" t="s">
        <v>66</v>
      </c>
      <c r="I25" s="190"/>
      <c r="J25" s="190"/>
      <c r="K25" s="190"/>
      <c r="L25" s="190"/>
      <c r="M25" s="190"/>
    </row>
    <row r="26" spans="1:13" ht="15.75" customHeight="1" x14ac:dyDescent="0.25">
      <c r="A26" s="566"/>
      <c r="B26" s="53" t="s">
        <v>245</v>
      </c>
      <c r="C26" s="668"/>
      <c r="D26" s="669"/>
      <c r="E26" s="670"/>
      <c r="F26" s="173"/>
      <c r="G26" s="665"/>
      <c r="H26" s="178" t="s">
        <v>59</v>
      </c>
      <c r="I26" s="190"/>
      <c r="J26" s="190"/>
      <c r="K26" s="190"/>
      <c r="L26" s="190"/>
      <c r="M26" s="190"/>
    </row>
    <row r="27" spans="1:13" ht="15.75" customHeight="1" x14ac:dyDescent="0.25">
      <c r="A27" s="566"/>
      <c r="B27" s="53" t="s">
        <v>246</v>
      </c>
      <c r="C27" s="668"/>
      <c r="D27" s="669"/>
      <c r="E27" s="670"/>
      <c r="F27" s="173"/>
      <c r="G27" s="665"/>
      <c r="H27" s="178" t="s">
        <v>65</v>
      </c>
      <c r="I27" s="190"/>
      <c r="J27" s="190"/>
      <c r="K27" s="190"/>
      <c r="L27" s="190"/>
      <c r="M27" s="190"/>
    </row>
    <row r="28" spans="1:13" ht="15.75" customHeight="1" x14ac:dyDescent="0.25">
      <c r="A28" s="566"/>
      <c r="B28" s="53" t="s">
        <v>247</v>
      </c>
      <c r="C28" s="668"/>
      <c r="D28" s="669"/>
      <c r="E28" s="670"/>
      <c r="F28" s="173"/>
      <c r="G28" s="665"/>
      <c r="H28" s="178" t="s">
        <v>70</v>
      </c>
      <c r="I28" s="190"/>
      <c r="J28" s="190"/>
      <c r="K28" s="190"/>
      <c r="L28" s="190"/>
      <c r="M28" s="190"/>
    </row>
    <row r="29" spans="1:13" ht="15.75" customHeight="1" x14ac:dyDescent="0.25">
      <c r="A29" s="566"/>
      <c r="B29" s="53" t="s">
        <v>248</v>
      </c>
      <c r="C29" s="668"/>
      <c r="D29" s="669"/>
      <c r="E29" s="670"/>
      <c r="F29" s="173"/>
      <c r="G29" s="665"/>
      <c r="H29" s="178" t="s">
        <v>69</v>
      </c>
      <c r="I29" s="190"/>
      <c r="J29" s="190"/>
      <c r="K29" s="190"/>
      <c r="L29" s="190"/>
      <c r="M29" s="190"/>
    </row>
    <row r="30" spans="1:13" ht="15.75" customHeight="1" x14ac:dyDescent="0.25">
      <c r="A30" s="566"/>
      <c r="B30" s="53" t="s">
        <v>249</v>
      </c>
      <c r="C30" s="668"/>
      <c r="D30" s="669"/>
      <c r="E30" s="670"/>
      <c r="F30" s="173"/>
      <c r="G30" s="665"/>
      <c r="H30" s="178" t="s">
        <v>67</v>
      </c>
      <c r="I30" s="190"/>
      <c r="J30" s="190"/>
      <c r="K30" s="190"/>
      <c r="L30" s="190"/>
      <c r="M30" s="190"/>
    </row>
    <row r="31" spans="1:13" ht="15.75" customHeight="1" x14ac:dyDescent="0.25">
      <c r="A31" s="566"/>
      <c r="B31" s="53" t="s">
        <v>250</v>
      </c>
      <c r="C31" s="668"/>
      <c r="D31" s="669"/>
      <c r="E31" s="670"/>
      <c r="F31" s="173"/>
      <c r="G31" s="665"/>
      <c r="H31" s="178" t="s">
        <v>60</v>
      </c>
      <c r="I31" s="190"/>
      <c r="J31" s="190"/>
      <c r="K31" s="190"/>
      <c r="L31" s="190"/>
      <c r="M31" s="190"/>
    </row>
    <row r="32" spans="1:13" ht="15.75" customHeight="1" x14ac:dyDescent="0.25">
      <c r="A32" s="566"/>
      <c r="B32" s="53" t="s">
        <v>251</v>
      </c>
      <c r="C32" s="668"/>
      <c r="D32" s="669"/>
      <c r="E32" s="670"/>
      <c r="F32" s="173"/>
      <c r="G32" s="665"/>
      <c r="H32" s="178" t="s">
        <v>221</v>
      </c>
      <c r="I32" s="190"/>
      <c r="J32" s="190"/>
      <c r="K32" s="190"/>
      <c r="L32" s="190"/>
      <c r="M32" s="190"/>
    </row>
    <row r="33" spans="1:13" ht="15.75" customHeight="1" x14ac:dyDescent="0.25">
      <c r="A33" s="566"/>
      <c r="B33" s="53" t="s">
        <v>252</v>
      </c>
      <c r="C33" s="668"/>
      <c r="D33" s="669"/>
      <c r="E33" s="670"/>
      <c r="F33" s="173"/>
      <c r="G33" s="665"/>
      <c r="H33" s="178" t="s">
        <v>68</v>
      </c>
      <c r="I33" s="190"/>
      <c r="J33" s="190"/>
      <c r="K33" s="190"/>
      <c r="L33" s="190"/>
      <c r="M33" s="190"/>
    </row>
    <row r="34" spans="1:13" ht="15.75" customHeight="1" x14ac:dyDescent="0.25">
      <c r="A34" s="566"/>
      <c r="B34" s="53" t="s">
        <v>253</v>
      </c>
      <c r="C34" s="668"/>
      <c r="D34" s="669"/>
      <c r="E34" s="670"/>
      <c r="F34" s="173"/>
      <c r="G34" s="665"/>
      <c r="H34" s="178" t="s">
        <v>62</v>
      </c>
      <c r="I34" s="190"/>
      <c r="J34" s="190"/>
      <c r="K34" s="190"/>
      <c r="L34" s="190"/>
      <c r="M34" s="190"/>
    </row>
    <row r="35" spans="1:13" ht="15.75" customHeight="1" x14ac:dyDescent="0.25">
      <c r="A35" s="566"/>
      <c r="B35" s="53" t="s">
        <v>254</v>
      </c>
      <c r="C35" s="668"/>
      <c r="D35" s="669"/>
      <c r="E35" s="670"/>
      <c r="F35" s="173"/>
      <c r="G35" s="665"/>
      <c r="H35" s="178"/>
      <c r="I35" s="190"/>
      <c r="J35" s="190"/>
      <c r="K35" s="190"/>
      <c r="L35" s="190"/>
      <c r="M35" s="190"/>
    </row>
    <row r="36" spans="1:13" ht="15.75" customHeight="1" x14ac:dyDescent="0.25">
      <c r="A36" s="566"/>
      <c r="B36" s="53" t="s">
        <v>255</v>
      </c>
      <c r="C36" s="668"/>
      <c r="D36" s="669"/>
      <c r="E36" s="670"/>
      <c r="F36" s="173"/>
      <c r="G36" s="665"/>
      <c r="H36" s="178"/>
      <c r="I36" s="190"/>
      <c r="J36" s="190"/>
      <c r="K36" s="190"/>
      <c r="L36" s="190"/>
      <c r="M36" s="190"/>
    </row>
    <row r="37" spans="1:13" ht="14.4" thickBot="1" x14ac:dyDescent="0.3">
      <c r="A37" s="566"/>
      <c r="B37" s="54"/>
      <c r="C37" s="671" t="s">
        <v>76</v>
      </c>
      <c r="D37" s="672"/>
      <c r="E37" s="673"/>
      <c r="F37" s="51">
        <f>SUM(F25:F36)</f>
        <v>0</v>
      </c>
      <c r="G37" s="665"/>
      <c r="H37" s="177"/>
      <c r="I37" s="190"/>
      <c r="J37" s="190"/>
      <c r="K37" s="190"/>
      <c r="L37" s="190"/>
      <c r="M37" s="190"/>
    </row>
    <row r="38" spans="1:13" ht="13.8" x14ac:dyDescent="0.25">
      <c r="C38" s="68"/>
      <c r="D38" s="12"/>
      <c r="E38" s="12"/>
      <c r="F38" s="12"/>
      <c r="G38" s="12"/>
    </row>
  </sheetData>
  <sheetProtection password="C3D7" sheet="1"/>
  <mergeCells count="36">
    <mergeCell ref="C4:E4"/>
    <mergeCell ref="B3:F3"/>
    <mergeCell ref="D8:E8"/>
    <mergeCell ref="D9:E9"/>
    <mergeCell ref="C32:E32"/>
    <mergeCell ref="C29:E29"/>
    <mergeCell ref="C30:E30"/>
    <mergeCell ref="C31:E31"/>
    <mergeCell ref="C5:E5"/>
    <mergeCell ref="D6:E6"/>
    <mergeCell ref="D7:E7"/>
    <mergeCell ref="D12:E12"/>
    <mergeCell ref="D17:E17"/>
    <mergeCell ref="D18:E18"/>
    <mergeCell ref="C26:E26"/>
    <mergeCell ref="C37:E37"/>
    <mergeCell ref="C33:E33"/>
    <mergeCell ref="C34:E34"/>
    <mergeCell ref="C35:E35"/>
    <mergeCell ref="C36:E36"/>
    <mergeCell ref="A1:A37"/>
    <mergeCell ref="B1:F1"/>
    <mergeCell ref="G1:G37"/>
    <mergeCell ref="C21:D21"/>
    <mergeCell ref="C22:D22"/>
    <mergeCell ref="C27:E27"/>
    <mergeCell ref="C28:E28"/>
    <mergeCell ref="C23:E23"/>
    <mergeCell ref="C20:E20"/>
    <mergeCell ref="C24:E24"/>
    <mergeCell ref="C25:E25"/>
    <mergeCell ref="B11:B18"/>
    <mergeCell ref="B5:B10"/>
    <mergeCell ref="C11:E11"/>
    <mergeCell ref="C19:E19"/>
    <mergeCell ref="D10:E10"/>
  </mergeCells>
  <phoneticPr fontId="0" type="noConversion"/>
  <dataValidations count="1">
    <dataValidation type="list" allowBlank="1" showInputMessage="1" showErrorMessage="1" sqref="E21:E23 E37" xr:uid="{00000000-0002-0000-0700-000000000000}">
      <formula1>$H$21:$H$36</formula1>
    </dataValidation>
  </dataValidations>
  <pageMargins left="0.78740157480314965" right="0.19685039370078741" top="0.82677165354330717" bottom="0.31496062992125984" header="0.35433070866141736" footer="0.15748031496062992"/>
  <pageSetup paperSize="9" scale="88" orientation="portrait" r:id="rId1"/>
  <headerFooter alignWithMargins="0">
    <oddHeader>Seite &amp;P&amp;R&amp;A</oddHeader>
    <oddFooter>&amp;L&amp;8 2013 V. 1.0 (01.09.12)&amp;R&amp;8gedruckt: &amp;D; &amp;T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">
    <tabColor indexed="43"/>
    <pageSetUpPr fitToPage="1"/>
  </sheetPr>
  <dimension ref="B2:K46"/>
  <sheetViews>
    <sheetView zoomScale="85" zoomScaleNormal="85" workbookViewId="0"/>
  </sheetViews>
  <sheetFormatPr baseColWidth="10" defaultColWidth="11.44140625" defaultRowHeight="13.2" x14ac:dyDescent="0.25"/>
  <cols>
    <col min="1" max="1" width="3.6640625" style="204" customWidth="1"/>
    <col min="2" max="2" width="7.44140625" style="204" customWidth="1"/>
    <col min="3" max="3" width="11.44140625" style="204" customWidth="1"/>
    <col min="4" max="4" width="13" style="204" customWidth="1"/>
    <col min="5" max="5" width="5.88671875" style="204" customWidth="1"/>
    <col min="6" max="6" width="25.5546875" style="204" customWidth="1"/>
    <col min="7" max="7" width="10.6640625" style="204" customWidth="1"/>
    <col min="8" max="8" width="1.33203125" style="204" customWidth="1"/>
    <col min="9" max="9" width="11.44140625" style="204" customWidth="1"/>
    <col min="10" max="10" width="4.5546875" style="204" customWidth="1"/>
    <col min="11" max="16384" width="11.44140625" style="204"/>
  </cols>
  <sheetData>
    <row r="2" spans="2:10" ht="17.399999999999999" x14ac:dyDescent="0.3">
      <c r="B2" s="199" t="s">
        <v>270</v>
      </c>
      <c r="C2" s="200"/>
      <c r="D2" s="201"/>
      <c r="E2" s="201"/>
      <c r="F2" s="201"/>
      <c r="G2" s="201"/>
      <c r="H2" s="202"/>
      <c r="I2" s="203">
        <f>'Camp-Abrechnung 1.0'!L2</f>
        <v>2024</v>
      </c>
    </row>
    <row r="3" spans="2:10" x14ac:dyDescent="0.25">
      <c r="I3" s="205" t="str">
        <f>"Ver. "&amp;Anleitung!H2</f>
        <v>Ver. 2024 - 1.0</v>
      </c>
    </row>
    <row r="4" spans="2:10" ht="13.8" x14ac:dyDescent="0.25">
      <c r="B4" s="218" t="s">
        <v>257</v>
      </c>
      <c r="J4" s="206"/>
    </row>
    <row r="5" spans="2:10" ht="7.5" customHeight="1" x14ac:dyDescent="0.25">
      <c r="B5" s="207"/>
      <c r="J5" s="208"/>
    </row>
    <row r="6" spans="2:10" ht="13.8" x14ac:dyDescent="0.25">
      <c r="B6" s="206"/>
      <c r="C6" s="692"/>
      <c r="D6" s="692"/>
      <c r="E6" s="692"/>
      <c r="F6" s="692"/>
      <c r="G6" s="692"/>
      <c r="H6" s="692"/>
      <c r="I6" s="209" t="s">
        <v>103</v>
      </c>
      <c r="J6" s="206"/>
    </row>
    <row r="7" spans="2:10" ht="15.75" customHeight="1" x14ac:dyDescent="0.25">
      <c r="B7" s="210" t="s">
        <v>7</v>
      </c>
      <c r="C7" s="688"/>
      <c r="D7" s="689"/>
      <c r="E7" s="689"/>
      <c r="F7" s="689"/>
      <c r="G7" s="689"/>
      <c r="H7" s="690"/>
      <c r="I7" s="176"/>
      <c r="J7" s="206"/>
    </row>
    <row r="8" spans="2:10" ht="15.75" customHeight="1" x14ac:dyDescent="0.25">
      <c r="B8" s="210" t="s">
        <v>8</v>
      </c>
      <c r="C8" s="688"/>
      <c r="D8" s="689"/>
      <c r="E8" s="689"/>
      <c r="F8" s="689"/>
      <c r="G8" s="689"/>
      <c r="H8" s="690"/>
      <c r="I8" s="176"/>
      <c r="J8" s="206"/>
    </row>
    <row r="9" spans="2:10" ht="15.75" customHeight="1" x14ac:dyDescent="0.25">
      <c r="B9" s="210" t="s">
        <v>9</v>
      </c>
      <c r="C9" s="688"/>
      <c r="D9" s="689"/>
      <c r="E9" s="689"/>
      <c r="F9" s="689"/>
      <c r="G9" s="689"/>
      <c r="H9" s="690"/>
      <c r="I9" s="176"/>
      <c r="J9" s="206"/>
    </row>
    <row r="10" spans="2:10" ht="15.75" customHeight="1" x14ac:dyDescent="0.25">
      <c r="B10" s="210" t="s">
        <v>10</v>
      </c>
      <c r="C10" s="688"/>
      <c r="D10" s="689"/>
      <c r="E10" s="689"/>
      <c r="F10" s="689"/>
      <c r="G10" s="689"/>
      <c r="H10" s="690"/>
      <c r="I10" s="176"/>
      <c r="J10" s="206"/>
    </row>
    <row r="11" spans="2:10" ht="15.75" customHeight="1" x14ac:dyDescent="0.25">
      <c r="B11" s="210" t="s">
        <v>11</v>
      </c>
      <c r="C11" s="688"/>
      <c r="D11" s="689"/>
      <c r="E11" s="689"/>
      <c r="F11" s="689"/>
      <c r="G11" s="689"/>
      <c r="H11" s="690"/>
      <c r="I11" s="176"/>
      <c r="J11" s="206"/>
    </row>
    <row r="12" spans="2:10" ht="15.75" customHeight="1" x14ac:dyDescent="0.25">
      <c r="B12" s="210" t="s">
        <v>12</v>
      </c>
      <c r="C12" s="688"/>
      <c r="D12" s="689"/>
      <c r="E12" s="689"/>
      <c r="F12" s="689"/>
      <c r="G12" s="689"/>
      <c r="H12" s="690"/>
      <c r="I12" s="176"/>
      <c r="J12" s="206"/>
    </row>
    <row r="13" spans="2:10" ht="15.75" customHeight="1" x14ac:dyDescent="0.25">
      <c r="B13" s="210" t="s">
        <v>13</v>
      </c>
      <c r="C13" s="688"/>
      <c r="D13" s="689"/>
      <c r="E13" s="689"/>
      <c r="F13" s="689"/>
      <c r="G13" s="689"/>
      <c r="H13" s="690"/>
      <c r="I13" s="176"/>
      <c r="J13" s="206"/>
    </row>
    <row r="14" spans="2:10" ht="15.75" customHeight="1" x14ac:dyDescent="0.25">
      <c r="B14" s="210" t="s">
        <v>14</v>
      </c>
      <c r="C14" s="688"/>
      <c r="D14" s="689"/>
      <c r="E14" s="689"/>
      <c r="F14" s="689"/>
      <c r="G14" s="689"/>
      <c r="H14" s="690"/>
      <c r="I14" s="176"/>
      <c r="J14" s="206"/>
    </row>
    <row r="15" spans="2:10" ht="15.75" customHeight="1" x14ac:dyDescent="0.25">
      <c r="B15" s="210" t="s">
        <v>15</v>
      </c>
      <c r="C15" s="211"/>
      <c r="D15" s="212"/>
      <c r="E15" s="212"/>
      <c r="F15" s="212"/>
      <c r="G15" s="212"/>
      <c r="H15" s="213"/>
      <c r="I15" s="176"/>
      <c r="J15" s="206"/>
    </row>
    <row r="16" spans="2:10" ht="15.75" customHeight="1" x14ac:dyDescent="0.25">
      <c r="B16" s="210" t="s">
        <v>16</v>
      </c>
      <c r="C16" s="211"/>
      <c r="D16" s="212"/>
      <c r="E16" s="212"/>
      <c r="F16" s="212"/>
      <c r="G16" s="212"/>
      <c r="H16" s="213"/>
      <c r="I16" s="176"/>
      <c r="J16" s="206"/>
    </row>
    <row r="17" spans="2:10" ht="15.75" customHeight="1" x14ac:dyDescent="0.25">
      <c r="B17" s="210" t="s">
        <v>42</v>
      </c>
      <c r="C17" s="211"/>
      <c r="D17" s="212"/>
      <c r="E17" s="212"/>
      <c r="F17" s="212"/>
      <c r="G17" s="212"/>
      <c r="H17" s="213"/>
      <c r="I17" s="176"/>
      <c r="J17" s="206"/>
    </row>
    <row r="18" spans="2:10" ht="15.75" customHeight="1" x14ac:dyDescent="0.25">
      <c r="B18" s="210" t="s">
        <v>43</v>
      </c>
      <c r="C18" s="211"/>
      <c r="D18" s="212"/>
      <c r="E18" s="212"/>
      <c r="F18" s="212"/>
      <c r="G18" s="212"/>
      <c r="H18" s="213"/>
      <c r="I18" s="176"/>
      <c r="J18" s="206"/>
    </row>
    <row r="19" spans="2:10" ht="15.75" customHeight="1" x14ac:dyDescent="0.25">
      <c r="B19" s="210" t="s">
        <v>44</v>
      </c>
      <c r="C19" s="211"/>
      <c r="D19" s="212"/>
      <c r="E19" s="212"/>
      <c r="F19" s="212"/>
      <c r="G19" s="212"/>
      <c r="H19" s="213"/>
      <c r="I19" s="176"/>
      <c r="J19" s="206"/>
    </row>
    <row r="20" spans="2:10" ht="15.75" customHeight="1" x14ac:dyDescent="0.25">
      <c r="B20" s="210" t="s">
        <v>80</v>
      </c>
      <c r="C20" s="211"/>
      <c r="D20" s="212"/>
      <c r="E20" s="212"/>
      <c r="F20" s="212"/>
      <c r="G20" s="212"/>
      <c r="H20" s="213"/>
      <c r="I20" s="176"/>
      <c r="J20" s="206"/>
    </row>
    <row r="21" spans="2:10" ht="15.75" customHeight="1" x14ac:dyDescent="0.25">
      <c r="B21" s="210" t="s">
        <v>84</v>
      </c>
      <c r="C21" s="211"/>
      <c r="D21" s="212"/>
      <c r="E21" s="212"/>
      <c r="F21" s="212"/>
      <c r="G21" s="212"/>
      <c r="H21" s="213"/>
      <c r="I21" s="176"/>
      <c r="J21" s="206"/>
    </row>
    <row r="22" spans="2:10" ht="15.75" customHeight="1" x14ac:dyDescent="0.25">
      <c r="B22" s="210" t="s">
        <v>85</v>
      </c>
      <c r="C22" s="211"/>
      <c r="D22" s="212"/>
      <c r="E22" s="212"/>
      <c r="F22" s="212"/>
      <c r="G22" s="212"/>
      <c r="H22" s="213"/>
      <c r="I22" s="176"/>
      <c r="J22" s="206"/>
    </row>
    <row r="23" spans="2:10" ht="15.75" customHeight="1" x14ac:dyDescent="0.25">
      <c r="B23" s="210" t="s">
        <v>86</v>
      </c>
      <c r="C23" s="211"/>
      <c r="D23" s="212"/>
      <c r="E23" s="212"/>
      <c r="F23" s="212"/>
      <c r="G23" s="212"/>
      <c r="H23" s="213"/>
      <c r="I23" s="176"/>
      <c r="J23" s="206"/>
    </row>
    <row r="24" spans="2:10" ht="15.75" customHeight="1" x14ac:dyDescent="0.25">
      <c r="B24" s="210" t="s">
        <v>87</v>
      </c>
      <c r="C24" s="211"/>
      <c r="D24" s="212"/>
      <c r="E24" s="212"/>
      <c r="F24" s="212"/>
      <c r="G24" s="212"/>
      <c r="H24" s="213"/>
      <c r="I24" s="176"/>
      <c r="J24" s="206"/>
    </row>
    <row r="25" spans="2:10" ht="15.75" customHeight="1" x14ac:dyDescent="0.25">
      <c r="B25" s="210" t="s">
        <v>88</v>
      </c>
      <c r="C25" s="211"/>
      <c r="D25" s="212"/>
      <c r="E25" s="212"/>
      <c r="F25" s="212"/>
      <c r="G25" s="212"/>
      <c r="H25" s="213"/>
      <c r="I25" s="176"/>
      <c r="J25" s="206"/>
    </row>
    <row r="26" spans="2:10" ht="15.75" customHeight="1" x14ac:dyDescent="0.25">
      <c r="B26" s="210" t="s">
        <v>89</v>
      </c>
      <c r="C26" s="211"/>
      <c r="D26" s="212"/>
      <c r="E26" s="212"/>
      <c r="F26" s="212"/>
      <c r="G26" s="212"/>
      <c r="H26" s="213"/>
      <c r="I26" s="176"/>
      <c r="J26" s="206"/>
    </row>
    <row r="27" spans="2:10" ht="15.75" customHeight="1" x14ac:dyDescent="0.25">
      <c r="B27" s="210" t="s">
        <v>90</v>
      </c>
      <c r="C27" s="211"/>
      <c r="D27" s="212"/>
      <c r="E27" s="212"/>
      <c r="F27" s="212"/>
      <c r="G27" s="212"/>
      <c r="H27" s="213"/>
      <c r="I27" s="176"/>
      <c r="J27" s="206"/>
    </row>
    <row r="28" spans="2:10" ht="15.75" customHeight="1" x14ac:dyDescent="0.25">
      <c r="B28" s="210" t="s">
        <v>222</v>
      </c>
      <c r="C28" s="211"/>
      <c r="D28" s="212"/>
      <c r="E28" s="212"/>
      <c r="F28" s="212"/>
      <c r="G28" s="212"/>
      <c r="H28" s="213"/>
      <c r="I28" s="176"/>
      <c r="J28" s="206"/>
    </row>
    <row r="29" spans="2:10" ht="15.75" customHeight="1" x14ac:dyDescent="0.25">
      <c r="B29" s="210" t="s">
        <v>223</v>
      </c>
      <c r="C29" s="211"/>
      <c r="D29" s="212"/>
      <c r="E29" s="212"/>
      <c r="F29" s="212"/>
      <c r="G29" s="212"/>
      <c r="H29" s="213"/>
      <c r="I29" s="176"/>
      <c r="J29" s="206"/>
    </row>
    <row r="30" spans="2:10" ht="15.75" customHeight="1" x14ac:dyDescent="0.25">
      <c r="B30" s="210" t="s">
        <v>224</v>
      </c>
      <c r="C30" s="211"/>
      <c r="D30" s="212"/>
      <c r="E30" s="212"/>
      <c r="F30" s="212"/>
      <c r="G30" s="212"/>
      <c r="H30" s="213"/>
      <c r="I30" s="176"/>
      <c r="J30" s="206"/>
    </row>
    <row r="31" spans="2:10" ht="15.75" customHeight="1" x14ac:dyDescent="0.25">
      <c r="B31" s="210" t="s">
        <v>225</v>
      </c>
      <c r="C31" s="211"/>
      <c r="D31" s="212"/>
      <c r="E31" s="212"/>
      <c r="F31" s="212"/>
      <c r="G31" s="212"/>
      <c r="H31" s="213"/>
      <c r="I31" s="176"/>
      <c r="J31" s="206"/>
    </row>
    <row r="32" spans="2:10" ht="15.75" customHeight="1" x14ac:dyDescent="0.25">
      <c r="B32" s="210" t="s">
        <v>226</v>
      </c>
      <c r="C32" s="211"/>
      <c r="D32" s="212"/>
      <c r="E32" s="212"/>
      <c r="F32" s="212"/>
      <c r="G32" s="212"/>
      <c r="H32" s="213"/>
      <c r="I32" s="176"/>
      <c r="J32" s="206"/>
    </row>
    <row r="33" spans="2:11" ht="15.75" customHeight="1" x14ac:dyDescent="0.25">
      <c r="B33" s="210" t="s">
        <v>227</v>
      </c>
      <c r="C33" s="211"/>
      <c r="D33" s="212"/>
      <c r="E33" s="212"/>
      <c r="F33" s="212"/>
      <c r="G33" s="212"/>
      <c r="H33" s="213"/>
      <c r="I33" s="176"/>
      <c r="J33" s="206"/>
    </row>
    <row r="34" spans="2:11" ht="15.75" customHeight="1" x14ac:dyDescent="0.25">
      <c r="B34" s="210" t="s">
        <v>228</v>
      </c>
      <c r="C34" s="211"/>
      <c r="D34" s="212"/>
      <c r="E34" s="212"/>
      <c r="F34" s="212"/>
      <c r="G34" s="212"/>
      <c r="H34" s="213"/>
      <c r="I34" s="176"/>
      <c r="J34" s="206"/>
    </row>
    <row r="35" spans="2:11" ht="15.75" customHeight="1" x14ac:dyDescent="0.25">
      <c r="B35" s="210" t="s">
        <v>229</v>
      </c>
      <c r="C35" s="211"/>
      <c r="D35" s="212"/>
      <c r="E35" s="212"/>
      <c r="F35" s="212"/>
      <c r="G35" s="212"/>
      <c r="H35" s="213"/>
      <c r="I35" s="176"/>
      <c r="J35" s="206"/>
    </row>
    <row r="36" spans="2:11" ht="15.75" customHeight="1" x14ac:dyDescent="0.25">
      <c r="B36" s="210" t="s">
        <v>230</v>
      </c>
      <c r="C36" s="211"/>
      <c r="D36" s="212"/>
      <c r="E36" s="212"/>
      <c r="F36" s="212"/>
      <c r="G36" s="212"/>
      <c r="H36" s="213"/>
      <c r="I36" s="176"/>
      <c r="J36" s="206"/>
    </row>
    <row r="37" spans="2:11" ht="15.75" customHeight="1" x14ac:dyDescent="0.25">
      <c r="B37" s="210" t="s">
        <v>231</v>
      </c>
      <c r="C37" s="211"/>
      <c r="D37" s="212"/>
      <c r="E37" s="212"/>
      <c r="F37" s="212"/>
      <c r="G37" s="212"/>
      <c r="H37" s="213"/>
      <c r="I37" s="176"/>
      <c r="J37" s="206"/>
    </row>
    <row r="38" spans="2:11" ht="15.75" customHeight="1" x14ac:dyDescent="0.25">
      <c r="B38" s="210" t="s">
        <v>232</v>
      </c>
      <c r="C38" s="211"/>
      <c r="D38" s="212"/>
      <c r="E38" s="212"/>
      <c r="F38" s="212"/>
      <c r="G38" s="212"/>
      <c r="H38" s="213"/>
      <c r="I38" s="176"/>
      <c r="J38" s="206"/>
    </row>
    <row r="39" spans="2:11" ht="15.75" customHeight="1" x14ac:dyDescent="0.25">
      <c r="B39" s="210" t="s">
        <v>233</v>
      </c>
      <c r="C39" s="211"/>
      <c r="D39" s="212"/>
      <c r="E39" s="212"/>
      <c r="F39" s="212"/>
      <c r="G39" s="212"/>
      <c r="H39" s="213"/>
      <c r="I39" s="176"/>
      <c r="J39" s="206"/>
    </row>
    <row r="40" spans="2:11" ht="15.75" customHeight="1" x14ac:dyDescent="0.25">
      <c r="B40" s="210" t="s">
        <v>234</v>
      </c>
      <c r="C40" s="211"/>
      <c r="D40" s="212"/>
      <c r="E40" s="212"/>
      <c r="F40" s="212"/>
      <c r="G40" s="212"/>
      <c r="H40" s="213"/>
      <c r="I40" s="176"/>
      <c r="J40" s="206"/>
    </row>
    <row r="41" spans="2:11" ht="15.75" customHeight="1" x14ac:dyDescent="0.25">
      <c r="B41" s="210" t="s">
        <v>235</v>
      </c>
      <c r="C41" s="211"/>
      <c r="D41" s="212"/>
      <c r="E41" s="212"/>
      <c r="F41" s="212"/>
      <c r="G41" s="212"/>
      <c r="H41" s="213"/>
      <c r="I41" s="176"/>
      <c r="J41" s="206"/>
    </row>
    <row r="42" spans="2:11" ht="15.75" customHeight="1" x14ac:dyDescent="0.25">
      <c r="B42" s="210" t="s">
        <v>236</v>
      </c>
      <c r="C42" s="211"/>
      <c r="D42" s="212"/>
      <c r="E42" s="212"/>
      <c r="F42" s="212"/>
      <c r="G42" s="212"/>
      <c r="H42" s="213"/>
      <c r="I42" s="176"/>
      <c r="J42" s="206"/>
    </row>
    <row r="43" spans="2:11" ht="15.75" customHeight="1" x14ac:dyDescent="0.25">
      <c r="B43" s="210" t="s">
        <v>237</v>
      </c>
      <c r="C43" s="211"/>
      <c r="D43" s="212"/>
      <c r="E43" s="212"/>
      <c r="F43" s="212"/>
      <c r="G43" s="212"/>
      <c r="H43" s="213"/>
      <c r="I43" s="176"/>
      <c r="J43" s="206"/>
    </row>
    <row r="44" spans="2:11" ht="15.75" customHeight="1" x14ac:dyDescent="0.25">
      <c r="C44" s="691" t="s">
        <v>28</v>
      </c>
      <c r="D44" s="691"/>
      <c r="E44" s="691"/>
      <c r="F44" s="691"/>
      <c r="G44" s="691"/>
      <c r="H44" s="206"/>
      <c r="I44" s="214">
        <f>SUM(I7:I43)</f>
        <v>0</v>
      </c>
      <c r="J44" s="206"/>
      <c r="K44" s="215"/>
    </row>
    <row r="45" spans="2:11" ht="13.8" x14ac:dyDescent="0.25">
      <c r="B45" s="206"/>
    </row>
    <row r="46" spans="2:11" ht="13.8" x14ac:dyDescent="0.25">
      <c r="C46" s="206"/>
      <c r="D46" s="206"/>
      <c r="E46" s="206"/>
      <c r="F46" s="206"/>
      <c r="G46" s="206"/>
      <c r="H46" s="206"/>
      <c r="I46" s="206"/>
    </row>
  </sheetData>
  <sheetProtection password="C3D7" sheet="1"/>
  <mergeCells count="10">
    <mergeCell ref="C12:H12"/>
    <mergeCell ref="C13:H13"/>
    <mergeCell ref="C14:H14"/>
    <mergeCell ref="C44:G44"/>
    <mergeCell ref="C6:H6"/>
    <mergeCell ref="C7:H7"/>
    <mergeCell ref="C8:H8"/>
    <mergeCell ref="C9:H9"/>
    <mergeCell ref="C10:H10"/>
    <mergeCell ref="C11:H11"/>
  </mergeCells>
  <pageMargins left="0.70866141732283472" right="0.19685039370078741" top="0.59055118110236227" bottom="0.39370078740157483" header="0.19685039370078741" footer="0.15748031496062992"/>
  <pageSetup paperSize="9" orientation="portrait" r:id="rId1"/>
  <headerFooter alignWithMargins="0">
    <oddFooter>&amp;L&amp;8&amp;F&amp;R&amp;8gedruckt: &amp;D;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18</vt:i4>
      </vt:variant>
    </vt:vector>
  </HeadingPairs>
  <TitlesOfParts>
    <vt:vector size="33" baseType="lpstr">
      <vt:lpstr>Personaldaten</vt:lpstr>
      <vt:lpstr>Import</vt:lpstr>
      <vt:lpstr>Anleitung</vt:lpstr>
      <vt:lpstr>Datenstammblatt</vt:lpstr>
      <vt:lpstr>Vorschuss</vt:lpstr>
      <vt:lpstr>Camp-Abrechnung 1.0</vt:lpstr>
      <vt:lpstr>SH-Abrechnung 1.0</vt:lpstr>
      <vt:lpstr>Positionen 2.1 - 2.4</vt:lpstr>
      <vt:lpstr>Verpfl. 2.6</vt:lpstr>
      <vt:lpstr>Unterschriftsblatt 2.9</vt:lpstr>
      <vt:lpstr>J+S-Abrechnung 3.0</vt:lpstr>
      <vt:lpstr>Ermässigungen 4.0</vt:lpstr>
      <vt:lpstr>Auszahlung 5.0</vt:lpstr>
      <vt:lpstr>Lagerbericht</vt:lpstr>
      <vt:lpstr>Budget</vt:lpstr>
      <vt:lpstr>Budget!Druckbereich</vt:lpstr>
      <vt:lpstr>'Camp-Abrechnung 1.0'!Druckbereich</vt:lpstr>
      <vt:lpstr>Datenstammblatt!Druckbereich</vt:lpstr>
      <vt:lpstr>'Ermässigungen 4.0'!Druckbereich</vt:lpstr>
      <vt:lpstr>'J+S-Abrechnung 3.0'!Druckbereich</vt:lpstr>
      <vt:lpstr>Lagerbericht!Druckbereich</vt:lpstr>
      <vt:lpstr>'Positionen 2.1 - 2.4'!Druckbereich</vt:lpstr>
      <vt:lpstr>'SH-Abrechnung 1.0'!Druckbereich</vt:lpstr>
      <vt:lpstr>'Unterschriftsblatt 2.9'!Druckbereich</vt:lpstr>
      <vt:lpstr>'Verpfl. 2.6'!Druckbereich</vt:lpstr>
      <vt:lpstr>Datenstammblatt!Drucktitel</vt:lpstr>
      <vt:lpstr>Export</vt:lpstr>
      <vt:lpstr>import</vt:lpstr>
      <vt:lpstr>LagerTyp</vt:lpstr>
      <vt:lpstr>Reset</vt:lpstr>
      <vt:lpstr>'Ermässigungen 4.0'!Statistik</vt:lpstr>
      <vt:lpstr>'SH-Abrechnung 1.0'!Statistik</vt:lpstr>
      <vt:lpstr>Statistik</vt:lpstr>
    </vt:vector>
  </TitlesOfParts>
  <Company>schneezüri.ch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Reto Strassen</dc:creator>
  <cp:lastModifiedBy>Reto Strassen</cp:lastModifiedBy>
  <cp:lastPrinted>2023-04-09T08:49:33Z</cp:lastPrinted>
  <dcterms:created xsi:type="dcterms:W3CDTF">2000-08-22T17:34:53Z</dcterms:created>
  <dcterms:modified xsi:type="dcterms:W3CDTF">2023-10-24T10:29:25Z</dcterms:modified>
</cp:coreProperties>
</file>